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Market_Sizing" sheetId="3" state="visible" r:id="rId3"/>
    <sheet xmlns:r="http://schemas.openxmlformats.org/officeDocument/2006/relationships" name="CAPEX" sheetId="4" state="visible" r:id="rId4"/>
    <sheet xmlns:r="http://schemas.openxmlformats.org/officeDocument/2006/relationships" name="OPEX" sheetId="5" state="visible" r:id="rId5"/>
    <sheet xmlns:r="http://schemas.openxmlformats.org/officeDocument/2006/relationships" name="Revenue" sheetId="6" state="visible" r:id="rId6"/>
    <sheet xmlns:r="http://schemas.openxmlformats.org/officeDocument/2006/relationships" name="Deposit_Float" sheetId="7" state="visible" r:id="rId7"/>
    <sheet xmlns:r="http://schemas.openxmlformats.org/officeDocument/2006/relationships" name="P&amp;L_10yr" sheetId="8" state="visible" r:id="rId8"/>
    <sheet xmlns:r="http://schemas.openxmlformats.org/officeDocument/2006/relationships" name="Returns" sheetId="9" state="visible" r:id="rId9"/>
    <sheet xmlns:r="http://schemas.openxmlformats.org/officeDocument/2006/relationships" name="Scenarios" sheetId="10" state="visible" r:id="rId10"/>
    <sheet xmlns:r="http://schemas.openxmlformats.org/officeDocument/2006/relationships" name="Sensitivity" sheetId="11" state="visible" r:id="rId11"/>
    <sheet xmlns:r="http://schemas.openxmlformats.org/officeDocument/2006/relationships" name="Phased_Assumptions" sheetId="12" state="visible" r:id="rId12"/>
    <sheet xmlns:r="http://schemas.openxmlformats.org/officeDocument/2006/relationships" name="Phased_CAPEX" sheetId="13" state="visible" r:id="rId13"/>
    <sheet xmlns:r="http://schemas.openxmlformats.org/officeDocument/2006/relationships" name="Phased_P&amp;L" sheetId="14" state="visible" r:id="rId14"/>
    <sheet xmlns:r="http://schemas.openxmlformats.org/officeDocument/2006/relationships" name="Phased_Returns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0.000"/>
    <numFmt numFmtId="165" formatCode="0.0%"/>
    <numFmt numFmtId="166" formatCode="0.0"/>
    <numFmt numFmtId="167" formatCode="#,##0.0"/>
    <numFmt numFmtId="168" formatCode="0.0000"/>
    <numFmt numFmtId="169" formatCode="0.0;-0.0"/>
  </numFmts>
  <fonts count="18">
    <font>
      <name val="Calibri"/>
      <family val="2"/>
      <color theme="1"/>
      <sz val="11"/>
      <scheme val="minor"/>
    </font>
    <font>
      <b val="1"/>
      <color rgb="001B2A4A"/>
      <sz val="14"/>
    </font>
    <font>
      <i val="1"/>
      <color rgb="00555555"/>
      <sz val="9"/>
    </font>
    <font>
      <b val="1"/>
    </font>
    <font>
      <b val="1"/>
      <color rgb="000000CC"/>
    </font>
    <font>
      <b val="1"/>
      <color rgb="00FFFFFF"/>
    </font>
    <font>
      <b val="1"/>
      <color rgb="001B2A4A"/>
      <sz val="11"/>
    </font>
    <font>
      <color rgb="00777777"/>
      <sz val="9"/>
    </font>
    <font/>
    <font>
      <color rgb="000000CC"/>
    </font>
    <font>
      <b val="1"/>
      <color rgb="00000000"/>
    </font>
    <font>
      <color rgb="00555555"/>
      <sz val="8"/>
    </font>
    <font>
      <color rgb="00777777"/>
      <sz val="8"/>
    </font>
    <font>
      <color rgb="00000000"/>
    </font>
    <font>
      <i val="1"/>
    </font>
    <font>
      <sz val="9"/>
    </font>
    <font>
      <color rgb="00555555"/>
      <sz val="9"/>
    </font>
    <font>
      <b val="1"/>
      <color rgb="001B2A4A"/>
    </font>
  </fonts>
  <fills count="4">
    <fill>
      <patternFill/>
    </fill>
    <fill>
      <patternFill patternType="gray125"/>
    </fill>
    <fill>
      <patternFill patternType="solid">
        <fgColor rgb="00C9A227"/>
      </patternFill>
    </fill>
    <fill>
      <patternFill patternType="solid">
        <fgColor rgb="001B2A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3" fontId="4" fillId="2" borderId="0" pivotButton="0" quotePrefix="0" xfId="0"/>
    <xf numFmtId="0" fontId="5" fillId="3" borderId="0" applyAlignment="1" pivotButton="0" quotePrefix="0" xfId="0">
      <alignment horizontal="center" vertical="center" wrapText="1"/>
    </xf>
    <xf numFmtId="0" fontId="5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0" fontId="8" fillId="0" borderId="0" pivotButton="0" quotePrefix="0" xfId="0"/>
    <xf numFmtId="2" fontId="9" fillId="0" borderId="0" pivotButton="0" quotePrefix="0" xfId="0"/>
    <xf numFmtId="2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164" fontId="9" fillId="0" borderId="0" pivotButton="0" quotePrefix="0" xfId="0"/>
    <xf numFmtId="164" fontId="10" fillId="0" borderId="0" pivotButton="0" quotePrefix="0" xfId="0"/>
    <xf numFmtId="3" fontId="9" fillId="0" borderId="0" pivotButton="0" quotePrefix="0" xfId="0"/>
    <xf numFmtId="3" fontId="10" fillId="0" borderId="0" pivotButton="0" quotePrefix="0" xfId="0"/>
    <xf numFmtId="165" fontId="9" fillId="0" borderId="0" pivotButton="0" quotePrefix="0" xfId="0"/>
    <xf numFmtId="165" fontId="10" fillId="0" borderId="0" pivotButton="0" quotePrefix="0" xfId="0"/>
    <xf numFmtId="166" fontId="9" fillId="0" borderId="0" pivotButton="0" quotePrefix="0" xfId="0"/>
    <xf numFmtId="166" fontId="10" fillId="0" borderId="0" pivotButton="0" quotePrefix="0" xfId="0"/>
    <xf numFmtId="2" fontId="13" fillId="0" borderId="0" pivotButton="0" quotePrefix="0" xfId="0"/>
    <xf numFmtId="3" fontId="13" fillId="0" borderId="0" pivotButton="0" quotePrefix="0" xfId="0"/>
    <xf numFmtId="0" fontId="14" fillId="0" borderId="0" pivotButton="0" quotePrefix="0" xfId="0"/>
    <xf numFmtId="167" fontId="13" fillId="0" borderId="0" pivotButton="0" quotePrefix="0" xfId="0"/>
    <xf numFmtId="167" fontId="10" fillId="0" borderId="0" pivotButton="0" quotePrefix="0" xfId="0"/>
    <xf numFmtId="164" fontId="13" fillId="0" borderId="0" pivotButton="0" quotePrefix="0" xfId="0"/>
    <xf numFmtId="165" fontId="13" fillId="0" borderId="0" pivotButton="0" quotePrefix="0" xfId="0"/>
    <xf numFmtId="166" fontId="13" fillId="0" borderId="0" pivotButton="0" quotePrefix="0" xfId="0"/>
    <xf numFmtId="0" fontId="15" fillId="0" borderId="0" pivotButton="0" quotePrefix="0" xfId="0"/>
    <xf numFmtId="0" fontId="5" fillId="3" borderId="0" pivotButton="0" quotePrefix="0" xfId="0"/>
    <xf numFmtId="168" fontId="9" fillId="0" borderId="0" pivotButton="0" quotePrefix="0" xfId="0"/>
    <xf numFmtId="169" fontId="10" fillId="0" borderId="0" pivotButton="0" quotePrefix="0" xfId="0"/>
    <xf numFmtId="0" fontId="16" fillId="0" borderId="0" pivotButton="0" quotePrefix="0" xfId="0"/>
    <xf numFmtId="165" fontId="0" fillId="0" borderId="0" pivotButton="0" quotePrefix="0" xfId="0"/>
    <xf numFmtId="9" fontId="0" fillId="0" borderId="0" pivotButton="0" quotePrefix="0" xfId="0"/>
    <xf numFmtId="3" fontId="0" fillId="0" borderId="0" pivotButton="0" quotePrefix="0" xfId="0"/>
    <xf numFmtId="167" fontId="0" fillId="0" borderId="0" pivotButton="0" quotePrefix="0" xfId="0"/>
    <xf numFmtId="167" fontId="3" fillId="0" borderId="0" pivotButton="0" quotePrefix="0" xfId="0"/>
    <xf numFmtId="164" fontId="0" fillId="0" borderId="0" pivotButton="0" quotePrefix="0" xfId="0"/>
    <xf numFmtId="4" fontId="0" fillId="0" borderId="0" pivotButton="0" quotePrefix="0" xfId="0"/>
    <xf numFmtId="4" fontId="3" fillId="0" borderId="0" pivotButton="0" quotePrefix="0" xfId="0"/>
    <xf numFmtId="165" fontId="3" fillId="0" borderId="0" pivotButton="0" quotePrefix="0" xfId="0"/>
    <xf numFmtId="3" fontId="3" fillId="0" borderId="0" pivotButton="0" quotePrefix="0" xfId="0"/>
    <xf numFmtId="0" fontId="1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" customWidth="1" min="2" max="2"/>
    <col width="150" customWidth="1" min="3" max="3"/>
  </cols>
  <sheetData>
    <row r="1">
      <c r="A1" s="1" t="inlineStr">
        <is>
          <t>UAE National Deposit Return System - Financial Model</t>
        </is>
      </c>
    </row>
    <row r="2">
      <c r="A2" s="2" t="inlineStr">
        <is>
          <t>Segen × Earth Care Consulting | Prepared 26 July 2026 | Base currency: AED (AED millions unless stated)</t>
        </is>
      </c>
    </row>
    <row r="3"/>
    <row r="4">
      <c r="A4" s="3" t="inlineStr"/>
    </row>
    <row r="5">
      <c r="A5" s="3" t="inlineStr">
        <is>
          <t>PURPOSE</t>
        </is>
      </c>
      <c r="C5" t="inlineStr">
        <is>
          <t>Feasibility-level financial model for a national DRS for PET, metal and glass beverage containers, national launch (2028).</t>
        </is>
      </c>
    </row>
    <row r="6">
      <c r="A6" s="3" t="inlineStr"/>
    </row>
    <row r="7">
      <c r="A7" s="3" t="inlineStr">
        <is>
          <t>HOW TO READ</t>
        </is>
      </c>
    </row>
    <row r="8">
      <c r="A8" s="3" t="inlineStr">
        <is>
          <t>1.</t>
        </is>
      </c>
      <c r="C8" t="inlineStr">
        <is>
          <t>Assumptions holds every input. Change the scenario toggle (Assumptions!D3: 1=Conservative, 2=Base, 3=Optimistic) to switch the whole model.</t>
        </is>
      </c>
    </row>
    <row r="9">
      <c r="A9" s="3" t="inlineStr">
        <is>
          <t>2.</t>
        </is>
      </c>
      <c r="C9" t="inlineStr">
        <is>
          <t>Market_Sizing → CAPEX → OPEX → Revenue feed P&amp;L_10yr → Returns. Deposit_Float is a memo only (never revenue).</t>
        </is>
      </c>
    </row>
    <row r="10">
      <c r="A10" s="3" t="inlineStr">
        <is>
          <t>3.</t>
        </is>
      </c>
      <c r="C10" t="inlineStr">
        <is>
          <t>Scenarios compares the three cases side-by-side using a simplified unlevered engine (live formulas).</t>
        </is>
      </c>
    </row>
    <row r="11">
      <c r="A11" s="3" t="inlineStr">
        <is>
          <t>4.</t>
        </is>
      </c>
      <c r="C11" t="inlineStr">
        <is>
          <t>Sensitivity shows one-way IRR impacts around the active case (live formulas).</t>
        </is>
      </c>
    </row>
    <row r="12">
      <c r="A12" s="3" t="inlineStr"/>
    </row>
    <row r="13">
      <c r="A13" s="3" t="inlineStr">
        <is>
          <t>COLOUR LEGEND</t>
        </is>
      </c>
    </row>
    <row r="14">
      <c r="A14" s="3" t="inlineStr">
        <is>
          <t>Blue text</t>
        </is>
      </c>
      <c r="C14" t="inlineStr">
        <is>
          <t>Input / assumption - change these only.</t>
        </is>
      </c>
    </row>
    <row r="15">
      <c r="A15" s="3" t="inlineStr">
        <is>
          <t>Black text</t>
        </is>
      </c>
      <c r="C15" t="inlineStr">
        <is>
          <t>Live Excel formula - do not overtype.</t>
        </is>
      </c>
    </row>
    <row r="16">
      <c r="A16" s="3" t="inlineStr">
        <is>
          <t>Navy header</t>
        </is>
      </c>
      <c r="C16" t="inlineStr">
        <is>
          <t>Table header (navy #1B2A4A, white text). Gold band = section divider (#C9A227).</t>
        </is>
      </c>
    </row>
    <row r="17">
      <c r="A17" s="3" t="inlineStr"/>
    </row>
    <row r="18">
      <c r="A18" s="3" t="inlineStr">
        <is>
          <t>SOURCE DISCIPLINE</t>
        </is>
      </c>
    </row>
    <row r="19">
      <c r="A19" s="3" t="inlineStr"/>
      <c r="C19" t="inlineStr">
        <is>
          <t>Every assumption row carries a Source column referencing research briefs R1-R5 (in research\) or labelled 'Analyst estimate'.</t>
        </is>
      </c>
    </row>
    <row r="20">
      <c r="A20" s="3" t="inlineStr"/>
      <c r="C20" t="inlineStr">
        <is>
          <t>FX: 1 USD = 3.6725 AED (peg). 1 EUR = 4.00 AED (analyst estimate, ~1.09 USD/EUR).</t>
        </is>
      </c>
    </row>
    <row r="21">
      <c r="A21" s="3" t="inlineStr"/>
    </row>
    <row r="22">
      <c r="A22" s="3" t="inlineStr">
        <is>
          <t>SEGGEN COMMITMENT (hard rule)</t>
        </is>
      </c>
    </row>
    <row r="23">
      <c r="A23" s="3" t="inlineStr"/>
      <c r="C23" t="inlineStr">
        <is>
          <t>Unredeemed deposits are NEVER operator revenue. They appear only in the Deposit_Float memo sheet as escrowed system liabilities/reserves,</t>
        </is>
      </c>
    </row>
    <row r="24">
      <c r="A24" s="3" t="inlineStr"/>
      <c r="C24" t="inlineStr">
        <is>
          <t>per Segen's pledge: commercial benefit comes from operations management and recovered-material value only.</t>
        </is>
      </c>
    </row>
    <row r="25">
      <c r="A25" s="3" t="inlineStr"/>
    </row>
    <row r="26">
      <c r="A26" s="3" t="inlineStr">
        <is>
          <t>KEY STRUCTURAL CHOICES</t>
        </is>
      </c>
    </row>
    <row r="27">
      <c r="A27" s="3" t="inlineStr"/>
      <c r="C27" t="inlineStr">
        <is>
          <t>• Timeline: decision late-2026 → build 2027 → national launch Jan-2028 (18-24 months, R1/R4 benchmarks). Operating years 2028-2037.</t>
        </is>
      </c>
    </row>
    <row r="28">
      <c r="A28" s="3" t="inlineStr"/>
      <c r="C28" t="inlineStr">
        <is>
          <t>• Operator-owned RVM fleet (Latvia/Lithuania model) - Segen SPV builds and runs infrastructure; retailers compensated via handling fees.</t>
        </is>
      </c>
    </row>
    <row r="29">
      <c r="A29" s="3" t="inlineStr"/>
      <c r="C29" t="inlineStr">
        <is>
          <t>• Producer fees calibrated for steady-state (90% redemption) cost recovery WITHOUT unredeemed-deposit income; early-year surpluses</t>
        </is>
      </c>
    </row>
    <row r="30">
      <c r="A30" s="3" t="inlineStr"/>
      <c r="C30" t="inlineStr">
        <is>
          <t xml:space="preserve">  (fees on 100% of placed-on-market units vs costs on returned units) build the statutory contingency reserve - Ireland year-1 pattern.</t>
        </is>
      </c>
    </row>
    <row r="31">
      <c r="A31" s="3" t="inlineStr"/>
      <c r="C31" t="inlineStr">
        <is>
          <t>• SPV financing: 60% debt / 40% equity; Segen holds 51% of equity and earns an operations management fee + material success fee.</t>
        </is>
      </c>
    </row>
    <row r="32">
      <c r="A32" s="3" t="inlineStr"/>
      <c r="C32" t="inlineStr">
        <is>
          <t>• UAE corporate tax 9% applied on positive pre-tax income; loss carry-forward ignored (conservative simplification).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78"/>
  <sheetViews>
    <sheetView showGridLines="0"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4" customWidth="1" min="1" max="1"/>
    <col width="8" customWidth="1" min="2" max="2"/>
    <col width="12" customWidth="1" min="3" max="3"/>
    <col width="12" customWidth="1" min="4" max="4"/>
    <col width="12" customWidth="1" min="5" max="5"/>
    <col width="40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Scenarios - Conservative / Base / Optimistic (Unlevered Engine)</t>
        </is>
      </c>
    </row>
    <row r="2">
      <c r="A2" s="2" t="inlineStr">
        <is>
          <t>Live formulas. Simplified engine vs detailed sheets: straight-line dep proxy, no interest, tax 9% on positive (EBITDA − dep proxy). Detailed active-scenario results: see Returns.</t>
        </is>
      </c>
    </row>
    <row r="3"/>
    <row r="4"/>
    <row r="5">
      <c r="A5" s="5" t="inlineStr">
        <is>
          <t>Driver</t>
        </is>
      </c>
      <c r="B5" s="5" t="inlineStr">
        <is>
          <t>Unit</t>
        </is>
      </c>
      <c r="C5" s="5" t="inlineStr">
        <is>
          <t>Conservative</t>
        </is>
      </c>
      <c r="D5" s="5" t="inlineStr">
        <is>
          <t>Base</t>
        </is>
      </c>
      <c r="E5" s="5" t="inlineStr">
        <is>
          <t>Optimistic</t>
        </is>
      </c>
      <c r="F5" s="5" t="inlineStr">
        <is>
          <t>Note</t>
        </is>
      </c>
    </row>
    <row r="6"/>
    <row r="7">
      <c r="A7" s="9" t="inlineStr">
        <is>
          <t>POM PET 2028</t>
        </is>
      </c>
      <c r="B7" s="8" t="inlineStr">
        <is>
          <t>bn</t>
        </is>
      </c>
      <c r="C7" s="22">
        <f>Assumptions!$D$15</f>
        <v/>
      </c>
      <c r="D7" s="22">
        <f>Assumptions!$E$15</f>
        <v/>
      </c>
      <c r="E7" s="22">
        <f>Assumptions!$F$15</f>
        <v/>
      </c>
      <c r="F7" s="12" t="inlineStr"/>
    </row>
    <row r="8">
      <c r="A8" s="9" t="inlineStr">
        <is>
          <t>POM ALU 2028</t>
        </is>
      </c>
      <c r="B8" s="8" t="inlineStr">
        <is>
          <t>bn</t>
        </is>
      </c>
      <c r="C8" s="22">
        <f>Assumptions!$D$16</f>
        <v/>
      </c>
      <c r="D8" s="22">
        <f>Assumptions!$E$16</f>
        <v/>
      </c>
      <c r="E8" s="22">
        <f>Assumptions!$F$16</f>
        <v/>
      </c>
      <c r="F8" s="12" t="inlineStr"/>
    </row>
    <row r="9">
      <c r="A9" s="9" t="inlineStr">
        <is>
          <t>POM GLASS 2028</t>
        </is>
      </c>
      <c r="B9" s="8" t="inlineStr">
        <is>
          <t>bn</t>
        </is>
      </c>
      <c r="C9" s="22">
        <f>Assumptions!$D$17</f>
        <v/>
      </c>
      <c r="D9" s="22">
        <f>Assumptions!$E$17</f>
        <v/>
      </c>
      <c r="E9" s="22">
        <f>Assumptions!$F$17</f>
        <v/>
      </c>
      <c r="F9" s="12" t="inlineStr"/>
    </row>
    <row r="10">
      <c r="A10" s="9" t="inlineStr">
        <is>
          <t>POM total 2028</t>
        </is>
      </c>
      <c r="B10" s="8" t="inlineStr">
        <is>
          <t>bn</t>
        </is>
      </c>
      <c r="C10" s="22">
        <f>C7+C8+C9</f>
        <v/>
      </c>
      <c r="D10" s="22">
        <f>D7+D8+D9</f>
        <v/>
      </c>
      <c r="E10" s="22">
        <f>E7+E8+E9</f>
        <v/>
      </c>
      <c r="F10" s="12" t="inlineStr"/>
    </row>
    <row r="11">
      <c r="A11" s="9" t="inlineStr">
        <is>
          <t>Growth</t>
        </is>
      </c>
      <c r="B11" s="8" t="inlineStr">
        <is>
          <t>%/yr</t>
        </is>
      </c>
      <c r="C11" s="28">
        <f>Assumptions!$D$18</f>
        <v/>
      </c>
      <c r="D11" s="28">
        <f>Assumptions!$E$18</f>
        <v/>
      </c>
      <c r="E11" s="28">
        <f>Assumptions!$F$18</f>
        <v/>
      </c>
      <c r="F11" s="12" t="inlineStr"/>
    </row>
    <row r="12">
      <c r="A12" s="9" t="inlineStr">
        <is>
          <t>Escalation</t>
        </is>
      </c>
      <c r="B12" s="8" t="inlineStr">
        <is>
          <t>%/yr</t>
        </is>
      </c>
      <c r="C12" s="28">
        <f>Assumptions!$D$11</f>
        <v/>
      </c>
      <c r="D12" s="28">
        <f>Assumptions!$E$11</f>
        <v/>
      </c>
      <c r="E12" s="28">
        <f>Assumptions!$F$11</f>
        <v/>
      </c>
      <c r="F12" s="12" t="inlineStr"/>
    </row>
    <row r="13">
      <c r="A13" s="9" t="inlineStr">
        <is>
          <t>Fee PET</t>
        </is>
      </c>
      <c r="B13" s="8" t="inlineStr">
        <is>
          <t>AED</t>
        </is>
      </c>
      <c r="C13" s="27">
        <f>Assumptions!$D$60</f>
        <v/>
      </c>
      <c r="D13" s="27">
        <f>Assumptions!$E$60</f>
        <v/>
      </c>
      <c r="E13" s="27">
        <f>Assumptions!$F$60</f>
        <v/>
      </c>
      <c r="F13" s="12" t="inlineStr"/>
    </row>
    <row r="14">
      <c r="A14" s="9" t="inlineStr">
        <is>
          <t>Fee ALU</t>
        </is>
      </c>
      <c r="B14" s="8" t="inlineStr">
        <is>
          <t>AED</t>
        </is>
      </c>
      <c r="C14" s="27">
        <f>Assumptions!$D$61</f>
        <v/>
      </c>
      <c r="D14" s="27">
        <f>Assumptions!$E$61</f>
        <v/>
      </c>
      <c r="E14" s="27">
        <f>Assumptions!$F$61</f>
        <v/>
      </c>
      <c r="F14" s="12" t="inlineStr"/>
    </row>
    <row r="15">
      <c r="A15" s="9" t="inlineStr">
        <is>
          <t>Fee GLASS</t>
        </is>
      </c>
      <c r="B15" s="8" t="inlineStr">
        <is>
          <t>AED</t>
        </is>
      </c>
      <c r="C15" s="27">
        <f>Assumptions!$D$62</f>
        <v/>
      </c>
      <c r="D15" s="27">
        <f>Assumptions!$E$62</f>
        <v/>
      </c>
      <c r="E15" s="27">
        <f>Assumptions!$F$62</f>
        <v/>
      </c>
      <c r="F15" s="12" t="inlineStr"/>
    </row>
    <row r="16">
      <c r="A16" s="9" t="inlineStr">
        <is>
          <t>Fee-review factor (from yr 4)</t>
        </is>
      </c>
      <c r="B16" s="8" t="inlineStr">
        <is>
          <t>x</t>
        </is>
      </c>
      <c r="C16" s="22">
        <f>Assumptions!$D$63</f>
        <v/>
      </c>
      <c r="D16" s="22">
        <f>Assumptions!$E$63</f>
        <v/>
      </c>
      <c r="E16" s="22">
        <f>Assumptions!$F$63</f>
        <v/>
      </c>
      <c r="F16" s="12" t="inlineStr">
        <is>
          <t>Cost-recovery reset (cons +20% / opt −15%)</t>
        </is>
      </c>
    </row>
    <row r="17">
      <c r="A17" s="9" t="inlineStr">
        <is>
          <t>Fee revenue at 2028 POM</t>
        </is>
      </c>
      <c r="B17" s="8" t="inlineStr">
        <is>
          <t>AED m</t>
        </is>
      </c>
      <c r="C17" s="23">
        <f>(C7*C13+C8*C14+C9*C15)*1000</f>
        <v/>
      </c>
      <c r="D17" s="23">
        <f>(D7*D13+D8*D14+D9*D15)*1000</f>
        <v/>
      </c>
      <c r="E17" s="23">
        <f>(E7*E13+E8*E14+E9*E15)*1000</f>
        <v/>
      </c>
      <c r="F17" s="12" t="inlineStr"/>
    </row>
    <row r="18">
      <c r="A18" s="9" t="inlineStr">
        <is>
          <t>Price rPET</t>
        </is>
      </c>
      <c r="B18" s="8" t="inlineStr">
        <is>
          <t>AED/t</t>
        </is>
      </c>
      <c r="C18" s="23">
        <f>Assumptions!$D$64*Assumptions!$G$7</f>
        <v/>
      </c>
      <c r="D18" s="23">
        <f>Assumptions!$E$64*Assumptions!$G$7</f>
        <v/>
      </c>
      <c r="E18" s="23">
        <f>Assumptions!$F$64*Assumptions!$G$7</f>
        <v/>
      </c>
      <c r="F18" s="12" t="inlineStr"/>
    </row>
    <row r="19">
      <c r="A19" s="9" t="inlineStr">
        <is>
          <t>Price UBC</t>
        </is>
      </c>
      <c r="B19" s="8" t="inlineStr">
        <is>
          <t>AED/t</t>
        </is>
      </c>
      <c r="C19" s="23">
        <f>Assumptions!$D$65*Assumptions!$G$7</f>
        <v/>
      </c>
      <c r="D19" s="23">
        <f>Assumptions!$E$65*Assumptions!$G$7</f>
        <v/>
      </c>
      <c r="E19" s="23">
        <f>Assumptions!$F$65*Assumptions!$G$7</f>
        <v/>
      </c>
      <c r="F19" s="12" t="inlineStr"/>
    </row>
    <row r="20">
      <c r="A20" s="9" t="inlineStr">
        <is>
          <t>Price cullet</t>
        </is>
      </c>
      <c r="B20" s="8" t="inlineStr">
        <is>
          <t>AED/t</t>
        </is>
      </c>
      <c r="C20" s="23">
        <f>Assumptions!$D$66</f>
        <v/>
      </c>
      <c r="D20" s="23">
        <f>Assumptions!$E$66</f>
        <v/>
      </c>
      <c r="E20" s="23">
        <f>Assumptions!$F$66</f>
        <v/>
      </c>
      <c r="F20" s="12" t="inlineStr"/>
    </row>
    <row r="21">
      <c r="A21" s="9" t="inlineStr">
        <is>
          <t>Weight PET</t>
        </is>
      </c>
      <c r="B21" s="8" t="inlineStr">
        <is>
          <t>g</t>
        </is>
      </c>
      <c r="C21" s="23">
        <f>Assumptions!$D$67</f>
        <v/>
      </c>
      <c r="D21" s="23">
        <f>Assumptions!$E$67</f>
        <v/>
      </c>
      <c r="E21" s="23">
        <f>Assumptions!$F$67</f>
        <v/>
      </c>
      <c r="F21" s="12" t="inlineStr"/>
    </row>
    <row r="22">
      <c r="A22" s="9" t="inlineStr">
        <is>
          <t>Weight ALU</t>
        </is>
      </c>
      <c r="B22" s="8" t="inlineStr">
        <is>
          <t>g</t>
        </is>
      </c>
      <c r="C22" s="29">
        <f>Assumptions!$D$68</f>
        <v/>
      </c>
      <c r="D22" s="29">
        <f>Assumptions!$E$68</f>
        <v/>
      </c>
      <c r="E22" s="29">
        <f>Assumptions!$F$68</f>
        <v/>
      </c>
      <c r="F22" s="12" t="inlineStr"/>
    </row>
    <row r="23">
      <c r="A23" s="9" t="inlineStr">
        <is>
          <t>Weight GLASS</t>
        </is>
      </c>
      <c r="B23" s="8" t="inlineStr">
        <is>
          <t>g</t>
        </is>
      </c>
      <c r="C23" s="23">
        <f>Assumptions!$D$69</f>
        <v/>
      </c>
      <c r="D23" s="23">
        <f>Assumptions!$E$69</f>
        <v/>
      </c>
      <c r="E23" s="23">
        <f>Assumptions!$F$69</f>
        <v/>
      </c>
      <c r="F23" s="12" t="inlineStr"/>
    </row>
    <row r="24">
      <c r="A24" s="9" t="inlineStr">
        <is>
          <t>Material revenue at 100% return</t>
        </is>
      </c>
      <c r="B24" s="8" t="inlineStr">
        <is>
          <t>AED m</t>
        </is>
      </c>
      <c r="C24" s="23">
        <f>(C7*C21*C18+C8*C22*C19+C9*C23*C20)/1000</f>
        <v/>
      </c>
      <c r="D24" s="23">
        <f>(D7*D21*D18+D8*D22*D19+D9*D23*D20)/1000</f>
        <v/>
      </c>
      <c r="E24" s="23">
        <f>(E7*E21*E18+E8*E22*E19+E9*E23*E20)/1000</f>
        <v/>
      </c>
      <c r="F24" s="12" t="inlineStr"/>
    </row>
    <row r="25">
      <c r="A25" s="9" t="inlineStr">
        <is>
          <t>Variable cost per container</t>
        </is>
      </c>
      <c r="B25" s="8" t="inlineStr">
        <is>
          <t>AED</t>
        </is>
      </c>
      <c r="C25" s="27">
        <f>Assumptions!$D$48+Assumptions!$D$49+Assumptions!$D$50+Assumptions!$D$51</f>
        <v/>
      </c>
      <c r="D25" s="27">
        <f>Assumptions!$E$48+Assumptions!$E$49+Assumptions!$E$50+Assumptions!$E$51</f>
        <v/>
      </c>
      <c r="E25" s="27">
        <f>Assumptions!$F$48+Assumptions!$F$49+Assumptions!$F$50+Assumptions!$F$51</f>
        <v/>
      </c>
      <c r="F25" s="12" t="inlineStr"/>
    </row>
    <row r="26">
      <c r="A26" s="9" t="inlineStr">
        <is>
          <t>Variable cost at 100% return</t>
        </is>
      </c>
      <c r="B26" s="8" t="inlineStr">
        <is>
          <t>AED m</t>
        </is>
      </c>
      <c r="C26" s="23">
        <f>C10*C25*1000</f>
        <v/>
      </c>
      <c r="D26" s="23">
        <f>D10*D25*1000</f>
        <v/>
      </c>
      <c r="E26" s="23">
        <f>E10*E25*1000</f>
        <v/>
      </c>
      <c r="F26" s="12" t="inlineStr"/>
    </row>
    <row r="27">
      <c r="A27" s="9" t="inlineStr">
        <is>
          <t>RVM count</t>
        </is>
      </c>
      <c r="B27" s="8" t="inlineStr">
        <is>
          <t>units</t>
        </is>
      </c>
      <c r="C27" s="23">
        <f>Assumptions!$D$31</f>
        <v/>
      </c>
      <c r="D27" s="23">
        <f>Assumptions!$E$31</f>
        <v/>
      </c>
      <c r="E27" s="23">
        <f>Assumptions!$F$31</f>
        <v/>
      </c>
      <c r="F27" s="12" t="inlineStr"/>
    </row>
    <row r="28">
      <c r="A28" s="9" t="inlineStr">
        <is>
          <t>RVM unit cost</t>
        </is>
      </c>
      <c r="B28" s="8" t="inlineStr">
        <is>
          <t>AED</t>
        </is>
      </c>
      <c r="C28" s="23">
        <f>Assumptions!$D$32</f>
        <v/>
      </c>
      <c r="D28" s="23">
        <f>Assumptions!$E$32</f>
        <v/>
      </c>
      <c r="E28" s="23">
        <f>Assumptions!$F$32</f>
        <v/>
      </c>
      <c r="F28" s="12" t="inlineStr"/>
    </row>
    <row r="29">
      <c r="A29" s="9" t="inlineStr">
        <is>
          <t>RVM fleet cost</t>
        </is>
      </c>
      <c r="B29" s="8" t="inlineStr">
        <is>
          <t>AED m</t>
        </is>
      </c>
      <c r="C29" s="23">
        <f>C27*C28/1000000</f>
        <v/>
      </c>
      <c r="D29" s="23">
        <f>D27*D28/1000000</f>
        <v/>
      </c>
      <c r="E29" s="23">
        <f>E27*E28/1000000</f>
        <v/>
      </c>
      <c r="F29" s="12" t="inlineStr"/>
    </row>
    <row r="30">
      <c r="A30" s="9" t="inlineStr">
        <is>
          <t>Contingency</t>
        </is>
      </c>
      <c r="B30" s="8" t="inlineStr">
        <is>
          <t>%</t>
        </is>
      </c>
      <c r="C30" s="28">
        <f>Assumptions!$D$43</f>
        <v/>
      </c>
      <c r="D30" s="28">
        <f>Assumptions!$E$43</f>
        <v/>
      </c>
      <c r="E30" s="28">
        <f>Assumptions!$F$43</f>
        <v/>
      </c>
      <c r="F30" s="12" t="inlineStr"/>
    </row>
    <row r="31">
      <c r="A31" s="9" t="inlineStr">
        <is>
          <t>Centre cost (each)</t>
        </is>
      </c>
      <c r="B31" s="8" t="inlineStr">
        <is>
          <t>AED m</t>
        </is>
      </c>
      <c r="C31" s="23">
        <f>Assumptions!$D$35</f>
        <v/>
      </c>
      <c r="D31" s="23">
        <f>Assumptions!$E$35</f>
        <v/>
      </c>
      <c r="E31" s="23">
        <f>Assumptions!$F$35</f>
        <v/>
      </c>
      <c r="F31" s="12" t="inlineStr"/>
    </row>
    <row r="32">
      <c r="A32" s="9" t="inlineStr">
        <is>
          <t>IT capex</t>
        </is>
      </c>
      <c r="B32" s="8" t="inlineStr">
        <is>
          <t>AED m</t>
        </is>
      </c>
      <c r="C32" s="23">
        <f>Assumptions!$D$37</f>
        <v/>
      </c>
      <c r="D32" s="23">
        <f>Assumptions!$E$37</f>
        <v/>
      </c>
      <c r="E32" s="23">
        <f>Assumptions!$F$37</f>
        <v/>
      </c>
      <c r="F32" s="12" t="inlineStr"/>
    </row>
    <row r="33">
      <c r="A33" s="9" t="inlineStr">
        <is>
          <t>Vehicles capex</t>
        </is>
      </c>
      <c r="B33" s="8" t="inlineStr">
        <is>
          <t>AED m</t>
        </is>
      </c>
      <c r="C33" s="23">
        <f>Assumptions!$D$39</f>
        <v/>
      </c>
      <c r="D33" s="23">
        <f>Assumptions!$E$39</f>
        <v/>
      </c>
      <c r="E33" s="23">
        <f>Assumptions!$F$39</f>
        <v/>
      </c>
      <c r="F33" s="12" t="inlineStr"/>
    </row>
    <row r="34">
      <c r="A34" s="9" t="inlineStr">
        <is>
          <t>Setup costs</t>
        </is>
      </c>
      <c r="B34" s="8" t="inlineStr">
        <is>
          <t>AED m</t>
        </is>
      </c>
      <c r="C34" s="23">
        <f>Assumptions!$D$41</f>
        <v/>
      </c>
      <c r="D34" s="23">
        <f>Assumptions!$E$41</f>
        <v/>
      </c>
      <c r="E34" s="23">
        <f>Assumptions!$F$41</f>
        <v/>
      </c>
      <c r="F34" s="12" t="inlineStr"/>
    </row>
    <row r="35">
      <c r="A35" s="9" t="inlineStr">
        <is>
          <t>Fixed OPEX base (2028)</t>
        </is>
      </c>
      <c r="B35" s="8" t="inlineStr">
        <is>
          <t>AED m</t>
        </is>
      </c>
      <c r="C35" s="23">
        <f>Assumptions!$D$53+Assumptions!$D$54+Assumptions!$D$56+Assumptions!$D$57+C27*Assumptions!$D$52/1000000</f>
        <v/>
      </c>
      <c r="D35" s="23">
        <f>Assumptions!$E$53+Assumptions!$E$54+Assumptions!$E$56+Assumptions!$E$57+D27*Assumptions!$E$52/1000000</f>
        <v/>
      </c>
      <c r="E35" s="23">
        <f>Assumptions!$F$53+Assumptions!$F$54+Assumptions!$F$56+Assumptions!$F$57+E27*Assumptions!$F$52/1000000</f>
        <v/>
      </c>
      <c r="F35" s="12" t="inlineStr"/>
    </row>
    <row r="36">
      <c r="A36" s="9" t="inlineStr">
        <is>
          <t>Awareness extra (yrs 1-3)</t>
        </is>
      </c>
      <c r="B36" s="8" t="inlineStr">
        <is>
          <t>AED m</t>
        </is>
      </c>
      <c r="C36" s="23">
        <f>Assumptions!$D$55-Assumptions!$D$56</f>
        <v/>
      </c>
      <c r="D36" s="23">
        <f>Assumptions!$E$55-Assumptions!$E$56</f>
        <v/>
      </c>
      <c r="E36" s="23">
        <f>Assumptions!$F$55-Assumptions!$F$56</f>
        <v/>
      </c>
      <c r="F36" s="12" t="inlineStr"/>
    </row>
    <row r="37">
      <c r="A37" s="9" t="inlineStr">
        <is>
          <t>OMF success-fee share</t>
        </is>
      </c>
      <c r="B37" s="8" t="inlineStr">
        <is>
          <t>%</t>
        </is>
      </c>
      <c r="C37" s="28">
        <f>Assumptions!$D$58</f>
        <v/>
      </c>
      <c r="D37" s="28">
        <f>Assumptions!$E$58</f>
        <v/>
      </c>
      <c r="E37" s="28">
        <f>Assumptions!$F$58</f>
        <v/>
      </c>
      <c r="F37" s="12" t="inlineStr"/>
    </row>
    <row r="38">
      <c r="A38" s="9" t="inlineStr">
        <is>
          <t>Depreciation proxy (steady, AED m/yr)</t>
        </is>
      </c>
      <c r="B38" s="8" t="inlineStr">
        <is>
          <t>AED m</t>
        </is>
      </c>
      <c r="C38" s="25">
        <f>C29*(1+C30)/Assumptions!$G$33+3*C31*(1+C30)/Assumptions!$G$36+C32*(1+C30)/Assumptions!$G$38+C33*(1+C30)/Assumptions!$G$40+C34/Assumptions!$G$42</f>
        <v/>
      </c>
      <c r="D38" s="25">
        <f>D29*(1+D30)/Assumptions!$G$33+3*D31*(1+D30)/Assumptions!$G$36+D32*(1+D30)/Assumptions!$G$38+D33*(1+D30)/Assumptions!$G$40+D34/Assumptions!$G$42</f>
        <v/>
      </c>
      <c r="E38" s="25">
        <f>E29*(1+E30)/Assumptions!$G$33+3*E31*(1+E30)/Assumptions!$G$36+E32*(1+E30)/Assumptions!$G$38+E33*(1+E30)/Assumptions!$G$40+E34/Assumptions!$G$42</f>
        <v/>
      </c>
      <c r="F38" s="12" t="inlineStr"/>
    </row>
    <row r="39"/>
    <row r="40">
      <c r="A40" s="9" t="inlineStr">
        <is>
          <t>CAPEX 2026</t>
        </is>
      </c>
      <c r="B40" s="8" t="inlineStr">
        <is>
          <t>AED m</t>
        </is>
      </c>
      <c r="C40" s="25">
        <f>0.5*C32+0.55*C34+C30*0.5*C32</f>
        <v/>
      </c>
      <c r="D40" s="25">
        <f>0.5*D32+0.55*D34+D30*0.5*D32</f>
        <v/>
      </c>
      <c r="E40" s="25">
        <f>0.5*E32+0.55*E34+E30*0.5*E32</f>
        <v/>
      </c>
      <c r="F40" s="12" t="inlineStr"/>
    </row>
    <row r="41">
      <c r="A41" s="9" t="inlineStr">
        <is>
          <t>CAPEX 2027</t>
        </is>
      </c>
      <c r="B41" s="8" t="inlineStr">
        <is>
          <t>AED m</t>
        </is>
      </c>
      <c r="C41" s="25">
        <f>0.34*C29+C31+0.5*C32+0.6*C33+0.45*C34+C30*(0.34*C29+C31+0.5*C32+0.6*C33)</f>
        <v/>
      </c>
      <c r="D41" s="25">
        <f>0.34*D29+D31+0.5*D32+0.6*D33+0.45*D34+D30*(0.34*D29+D31+0.5*D32+0.6*D33)</f>
        <v/>
      </c>
      <c r="E41" s="25">
        <f>0.34*E29+E31+0.5*E32+0.6*E33+0.45*E34+E30*(0.34*E29+E31+0.5*E32+0.6*E33)</f>
        <v/>
      </c>
      <c r="F41" s="12" t="inlineStr"/>
    </row>
    <row r="42">
      <c r="A42" s="9" t="inlineStr">
        <is>
          <t>CAPEX 2028</t>
        </is>
      </c>
      <c r="B42" s="8" t="inlineStr">
        <is>
          <t>AED m</t>
        </is>
      </c>
      <c r="C42" s="25">
        <f>0.43*C29+2*C31+0.4*C33+C30*(0.43*C29+2*C31+0.4*C33)</f>
        <v/>
      </c>
      <c r="D42" s="25">
        <f>0.43*D29+2*D31+0.4*D33+D30*(0.43*D29+2*D31+0.4*D33)</f>
        <v/>
      </c>
      <c r="E42" s="25">
        <f>0.43*E29+2*E31+0.4*E33+E30*(0.43*E29+2*E31+0.4*E33)</f>
        <v/>
      </c>
      <c r="F42" s="12" t="inlineStr"/>
    </row>
    <row r="43">
      <c r="A43" s="9" t="inlineStr">
        <is>
          <t>CAPEX 2029</t>
        </is>
      </c>
      <c r="B43" s="8" t="inlineStr">
        <is>
          <t>AED m</t>
        </is>
      </c>
      <c r="C43" s="25">
        <f>0.23*C29*(1+C30)</f>
        <v/>
      </c>
      <c r="D43" s="25">
        <f>0.23*D29*(1+D30)</f>
        <v/>
      </c>
      <c r="E43" s="25">
        <f>0.23*E29*(1+E30)</f>
        <v/>
      </c>
      <c r="F43" s="12" t="inlineStr"/>
    </row>
    <row r="44">
      <c r="A44" s="9" t="inlineStr">
        <is>
          <t>CAPEX total</t>
        </is>
      </c>
      <c r="B44" s="8" t="inlineStr">
        <is>
          <t>AED m</t>
        </is>
      </c>
      <c r="C44" s="23">
        <f>SUM(C40:C43)</f>
        <v/>
      </c>
      <c r="D44" s="23">
        <f>SUM(D40:D43)</f>
        <v/>
      </c>
      <c r="E44" s="23">
        <f>SUM(E40:E43)</f>
        <v/>
      </c>
      <c r="F44" s="12" t="inlineStr"/>
    </row>
    <row r="45"/>
    <row r="46">
      <c r="A46" s="9" t="inlineStr">
        <is>
          <t>Return rate year 1</t>
        </is>
      </c>
      <c r="B46" s="8" t="inlineStr">
        <is>
          <t>%</t>
        </is>
      </c>
      <c r="C46" s="28">
        <f>Assumptions!$D$20</f>
        <v/>
      </c>
      <c r="D46" s="28">
        <f>Assumptions!$E$20</f>
        <v/>
      </c>
      <c r="E46" s="28">
        <f>Assumptions!$F$20</f>
        <v/>
      </c>
      <c r="F46" s="12" t="inlineStr"/>
    </row>
    <row r="47">
      <c r="A47" s="9" t="inlineStr">
        <is>
          <t>Return rate year 2</t>
        </is>
      </c>
      <c r="B47" s="8" t="inlineStr">
        <is>
          <t>%</t>
        </is>
      </c>
      <c r="C47" s="28">
        <f>Assumptions!$D$21</f>
        <v/>
      </c>
      <c r="D47" s="28">
        <f>Assumptions!$E$21</f>
        <v/>
      </c>
      <c r="E47" s="28">
        <f>Assumptions!$F$21</f>
        <v/>
      </c>
      <c r="F47" s="12" t="inlineStr"/>
    </row>
    <row r="48">
      <c r="A48" s="9" t="inlineStr">
        <is>
          <t>Return rate year 3</t>
        </is>
      </c>
      <c r="B48" s="8" t="inlineStr">
        <is>
          <t>%</t>
        </is>
      </c>
      <c r="C48" s="28">
        <f>Assumptions!$D$22</f>
        <v/>
      </c>
      <c r="D48" s="28">
        <f>Assumptions!$E$22</f>
        <v/>
      </c>
      <c r="E48" s="28">
        <f>Assumptions!$F$22</f>
        <v/>
      </c>
      <c r="F48" s="12" t="inlineStr"/>
    </row>
    <row r="49">
      <c r="A49" s="9" t="inlineStr">
        <is>
          <t>Return rate year 4</t>
        </is>
      </c>
      <c r="B49" s="8" t="inlineStr">
        <is>
          <t>%</t>
        </is>
      </c>
      <c r="C49" s="28">
        <f>Assumptions!$D$23</f>
        <v/>
      </c>
      <c r="D49" s="28">
        <f>Assumptions!$E$23</f>
        <v/>
      </c>
      <c r="E49" s="28">
        <f>Assumptions!$F$23</f>
        <v/>
      </c>
      <c r="F49" s="12" t="inlineStr"/>
    </row>
    <row r="50">
      <c r="A50" s="9" t="inlineStr">
        <is>
          <t>Return rate year 5</t>
        </is>
      </c>
      <c r="B50" s="8" t="inlineStr">
        <is>
          <t>%</t>
        </is>
      </c>
      <c r="C50" s="28">
        <f>Assumptions!$D$24</f>
        <v/>
      </c>
      <c r="D50" s="28">
        <f>Assumptions!$E$24</f>
        <v/>
      </c>
      <c r="E50" s="28">
        <f>Assumptions!$F$24</f>
        <v/>
      </c>
      <c r="F50" s="12" t="inlineStr"/>
    </row>
    <row r="51">
      <c r="A51" s="9" t="inlineStr">
        <is>
          <t>Return rate year 6</t>
        </is>
      </c>
      <c r="B51" s="8" t="inlineStr">
        <is>
          <t>%</t>
        </is>
      </c>
      <c r="C51" s="28">
        <f>Assumptions!$D$25</f>
        <v/>
      </c>
      <c r="D51" s="28">
        <f>Assumptions!$E$25</f>
        <v/>
      </c>
      <c r="E51" s="28">
        <f>Assumptions!$F$25</f>
        <v/>
      </c>
      <c r="F51" s="12" t="inlineStr"/>
    </row>
    <row r="52">
      <c r="A52" s="9" t="inlineStr">
        <is>
          <t>Return rate year 7</t>
        </is>
      </c>
      <c r="B52" s="8" t="inlineStr">
        <is>
          <t>%</t>
        </is>
      </c>
      <c r="C52" s="28">
        <f>Assumptions!$D$26</f>
        <v/>
      </c>
      <c r="D52" s="28">
        <f>Assumptions!$E$26</f>
        <v/>
      </c>
      <c r="E52" s="28">
        <f>Assumptions!$F$26</f>
        <v/>
      </c>
      <c r="F52" s="12" t="inlineStr"/>
    </row>
    <row r="53">
      <c r="A53" s="9" t="inlineStr">
        <is>
          <t>Return rate year 8</t>
        </is>
      </c>
      <c r="B53" s="8" t="inlineStr">
        <is>
          <t>%</t>
        </is>
      </c>
      <c r="C53" s="28">
        <f>Assumptions!$D$27</f>
        <v/>
      </c>
      <c r="D53" s="28">
        <f>Assumptions!$E$27</f>
        <v/>
      </c>
      <c r="E53" s="28">
        <f>Assumptions!$F$27</f>
        <v/>
      </c>
      <c r="F53" s="12" t="inlineStr"/>
    </row>
    <row r="54">
      <c r="A54" s="9" t="inlineStr">
        <is>
          <t>Return rate year 9</t>
        </is>
      </c>
      <c r="B54" s="8" t="inlineStr">
        <is>
          <t>%</t>
        </is>
      </c>
      <c r="C54" s="28">
        <f>Assumptions!$D$28</f>
        <v/>
      </c>
      <c r="D54" s="28">
        <f>Assumptions!$E$28</f>
        <v/>
      </c>
      <c r="E54" s="28">
        <f>Assumptions!$F$28</f>
        <v/>
      </c>
      <c r="F54" s="12" t="inlineStr"/>
    </row>
    <row r="55">
      <c r="A55" s="9" t="inlineStr">
        <is>
          <t>Return rate year 10</t>
        </is>
      </c>
      <c r="B55" s="8" t="inlineStr">
        <is>
          <t>%</t>
        </is>
      </c>
      <c r="C55" s="28">
        <f>Assumptions!$D$29</f>
        <v/>
      </c>
      <c r="D55" s="28">
        <f>Assumptions!$E$29</f>
        <v/>
      </c>
      <c r="E55" s="28">
        <f>Assumptions!$F$29</f>
        <v/>
      </c>
      <c r="F55" s="12" t="inlineStr"/>
    </row>
    <row r="56"/>
    <row r="57">
      <c r="A57" s="6" t="inlineStr">
        <is>
          <t>FREE CASH FLOW GRID (AED m)</t>
        </is>
      </c>
      <c r="B57" s="7" t="n"/>
      <c r="C57" s="7" t="n"/>
      <c r="D57" s="7" t="n"/>
      <c r="E57" s="7" t="n"/>
      <c r="F57" s="7" t="n"/>
      <c r="G57" s="7" t="n"/>
      <c r="H57" s="7" t="n"/>
      <c r="I57" s="7" t="n"/>
      <c r="J57" s="7" t="n"/>
      <c r="K57" s="7" t="n"/>
      <c r="L57" s="7" t="n"/>
      <c r="M57" s="7" t="n"/>
      <c r="N57" s="7" t="n"/>
    </row>
    <row r="58">
      <c r="A58" s="5" t="inlineStr">
        <is>
          <t>Scenario</t>
        </is>
      </c>
      <c r="B58" s="5" t="inlineStr"/>
      <c r="C58" s="5" t="n">
        <v>2026</v>
      </c>
      <c r="D58" s="5" t="n">
        <v>2027</v>
      </c>
      <c r="E58" s="5" t="n">
        <v>2028</v>
      </c>
      <c r="F58" s="5" t="n">
        <v>2029</v>
      </c>
      <c r="G58" s="5" t="n">
        <v>2030</v>
      </c>
      <c r="H58" s="5" t="n">
        <v>2031</v>
      </c>
      <c r="I58" s="5" t="n">
        <v>2032</v>
      </c>
      <c r="J58" s="5" t="n">
        <v>2033</v>
      </c>
      <c r="K58" s="5" t="n">
        <v>2034</v>
      </c>
      <c r="L58" s="5" t="n">
        <v>2035</v>
      </c>
      <c r="M58" s="5" t="n">
        <v>2036</v>
      </c>
      <c r="N58" s="5" t="n">
        <v>2037</v>
      </c>
    </row>
    <row r="59">
      <c r="A59" s="3" t="inlineStr">
        <is>
          <t>Conservative</t>
        </is>
      </c>
      <c r="C59" s="23">
        <f>-C$40</f>
        <v/>
      </c>
      <c r="D59" s="23">
        <f>-C$41</f>
        <v/>
      </c>
      <c r="E59" s="23">
        <f>(1+C$12)^0*(1+C$11)^0*IF(0&gt;=3,C$16,1)*C$17+(1+C$11)^0*C$46*(1-C$37)*C$24-(1+C$12)^0*(1+C$11)^0*C$46*C$26-(1+C$12)^0*(C$35+IF(0&lt;3,C$36,0))-Assumptions!$G$12*MAX(0,(1+C$12)^0*(1+C$11)^0*IF(0&gt;=3,C$16,1)*C$17+(1+C$11)^0*C$46*(1-C$37)*C$24-(1+C$12)^0*(1+C$11)^0*C$46*C$26-(1+C$12)^0*(C$35+IF(0&lt;3,C$36,0))-C$38)-C$42</f>
        <v/>
      </c>
      <c r="F59" s="23">
        <f>(1+C$12)^1*(1+C$11)^1*IF(1&gt;=3,C$16,1)*C$17+(1+C$11)^1*C$47*(1-C$37)*C$24-(1+C$12)^1*(1+C$11)^1*C$47*C$26-(1+C$12)^1*(C$35+IF(1&lt;3,C$36,0))-Assumptions!$G$12*MAX(0,(1+C$12)^1*(1+C$11)^1*IF(1&gt;=3,C$16,1)*C$17+(1+C$11)^1*C$47*(1-C$37)*C$24-(1+C$12)^1*(1+C$11)^1*C$47*C$26-(1+C$12)^1*(C$35+IF(1&lt;3,C$36,0))-C$38)-C$43</f>
        <v/>
      </c>
      <c r="G59" s="23">
        <f>(1+C$12)^2*(1+C$11)^2*IF(2&gt;=3,C$16,1)*C$17+(1+C$11)^2*C$48*(1-C$37)*C$24-(1+C$12)^2*(1+C$11)^2*C$48*C$26-(1+C$12)^2*(C$35+IF(2&lt;3,C$36,0))-Assumptions!$G$12*MAX(0,(1+C$12)^2*(1+C$11)^2*IF(2&gt;=3,C$16,1)*C$17+(1+C$11)^2*C$48*(1-C$37)*C$24-(1+C$12)^2*(1+C$11)^2*C$48*C$26-(1+C$12)^2*(C$35+IF(2&lt;3,C$36,0))-C$38)-0</f>
        <v/>
      </c>
      <c r="H59" s="23">
        <f>(1+C$12)^3*(1+C$11)^3*IF(3&gt;=3,C$16,1)*C$17+(1+C$11)^3*C$49*(1-C$37)*C$24-(1+C$12)^3*(1+C$11)^3*C$49*C$26-(1+C$12)^3*(C$35+IF(3&lt;3,C$36,0))-Assumptions!$G$12*MAX(0,(1+C$12)^3*(1+C$11)^3*IF(3&gt;=3,C$16,1)*C$17+(1+C$11)^3*C$49*(1-C$37)*C$24-(1+C$12)^3*(1+C$11)^3*C$49*C$26-(1+C$12)^3*(C$35+IF(3&lt;3,C$36,0))-C$38)-0</f>
        <v/>
      </c>
      <c r="I59" s="23">
        <f>(1+C$12)^4*(1+C$11)^4*IF(4&gt;=3,C$16,1)*C$17+(1+C$11)^4*C$50*(1-C$37)*C$24-(1+C$12)^4*(1+C$11)^4*C$50*C$26-(1+C$12)^4*(C$35+IF(4&lt;3,C$36,0))-Assumptions!$G$12*MAX(0,(1+C$12)^4*(1+C$11)^4*IF(4&gt;=3,C$16,1)*C$17+(1+C$11)^4*C$50*(1-C$37)*C$24-(1+C$12)^4*(1+C$11)^4*C$50*C$26-(1+C$12)^4*(C$35+IF(4&lt;3,C$36,0))-C$38)-0</f>
        <v/>
      </c>
      <c r="J59" s="23">
        <f>(1+C$12)^5*(1+C$11)^5*IF(5&gt;=3,C$16,1)*C$17+(1+C$11)^5*C$51*(1-C$37)*C$24-(1+C$12)^5*(1+C$11)^5*C$51*C$26-(1+C$12)^5*(C$35+IF(5&lt;3,C$36,0))-Assumptions!$G$12*MAX(0,(1+C$12)^5*(1+C$11)^5*IF(5&gt;=3,C$16,1)*C$17+(1+C$11)^5*C$51*(1-C$37)*C$24-(1+C$12)^5*(1+C$11)^5*C$51*C$26-(1+C$12)^5*(C$35+IF(5&lt;3,C$36,0))-C$38)-0</f>
        <v/>
      </c>
      <c r="K59" s="23">
        <f>(1+C$12)^6*(1+C$11)^6*IF(6&gt;=3,C$16,1)*C$17+(1+C$11)^6*C$52*(1-C$37)*C$24-(1+C$12)^6*(1+C$11)^6*C$52*C$26-(1+C$12)^6*(C$35+IF(6&lt;3,C$36,0))-Assumptions!$G$12*MAX(0,(1+C$12)^6*(1+C$11)^6*IF(6&gt;=3,C$16,1)*C$17+(1+C$11)^6*C$52*(1-C$37)*C$24-(1+C$12)^6*(1+C$11)^6*C$52*C$26-(1+C$12)^6*(C$35+IF(6&lt;3,C$36,0))-C$38)-0</f>
        <v/>
      </c>
      <c r="L59" s="23">
        <f>(1+C$12)^7*(1+C$11)^7*IF(7&gt;=3,C$16,1)*C$17+(1+C$11)^7*C$53*(1-C$37)*C$24-(1+C$12)^7*(1+C$11)^7*C$53*C$26-(1+C$12)^7*(C$35+IF(7&lt;3,C$36,0))-Assumptions!$G$12*MAX(0,(1+C$12)^7*(1+C$11)^7*IF(7&gt;=3,C$16,1)*C$17+(1+C$11)^7*C$53*(1-C$37)*C$24-(1+C$12)^7*(1+C$11)^7*C$53*C$26-(1+C$12)^7*(C$35+IF(7&lt;3,C$36,0))-C$38)-0</f>
        <v/>
      </c>
      <c r="M59" s="23">
        <f>(1+C$12)^8*(1+C$11)^8*IF(8&gt;=3,C$16,1)*C$17+(1+C$11)^8*C$54*(1-C$37)*C$24-(1+C$12)^8*(1+C$11)^8*C$54*C$26-(1+C$12)^8*(C$35+IF(8&lt;3,C$36,0))-Assumptions!$G$12*MAX(0,(1+C$12)^8*(1+C$11)^8*IF(8&gt;=3,C$16,1)*C$17+(1+C$11)^8*C$54*(1-C$37)*C$24-(1+C$12)^8*(1+C$11)^8*C$54*C$26-(1+C$12)^8*(C$35+IF(8&lt;3,C$36,0))-C$38)-0</f>
        <v/>
      </c>
      <c r="N59" s="23">
        <f>(1+C$12)^9*(1+C$11)^9*IF(9&gt;=3,C$16,1)*C$17+(1+C$11)^9*C$55*(1-C$37)*C$24-(1+C$12)^9*(1+C$11)^9*C$55*C$26-(1+C$12)^9*(C$35+IF(9&lt;3,C$36,0))-Assumptions!$G$12*MAX(0,(1+C$12)^9*(1+C$11)^9*IF(9&gt;=3,C$16,1)*C$17+(1+C$11)^9*C$55*(1-C$37)*C$24-(1+C$12)^9*(1+C$11)^9*C$55*C$26-(1+C$12)^9*(C$35+IF(9&lt;3,C$36,0))-C$38)-0</f>
        <v/>
      </c>
    </row>
    <row r="60">
      <c r="A60" s="3" t="inlineStr">
        <is>
          <t>Base</t>
        </is>
      </c>
      <c r="C60" s="23">
        <f>-D$40</f>
        <v/>
      </c>
      <c r="D60" s="23">
        <f>-D$41</f>
        <v/>
      </c>
      <c r="E60" s="23">
        <f>(1+D$12)^0*(1+D$11)^0*IF(0&gt;=3,D$16,1)*D$17+(1+D$11)^0*D$46*(1-D$37)*D$24-(1+D$12)^0*(1+D$11)^0*D$46*D$26-(1+D$12)^0*(D$35+IF(0&lt;3,D$36,0))-Assumptions!$G$12*MAX(0,(1+D$12)^0*(1+D$11)^0*IF(0&gt;=3,D$16,1)*D$17+(1+D$11)^0*D$46*(1-D$37)*D$24-(1+D$12)^0*(1+D$11)^0*D$46*D$26-(1+D$12)^0*(D$35+IF(0&lt;3,D$36,0))-D$38)-D$42</f>
        <v/>
      </c>
      <c r="F60" s="23">
        <f>(1+D$12)^1*(1+D$11)^1*IF(1&gt;=3,D$16,1)*D$17+(1+D$11)^1*D$47*(1-D$37)*D$24-(1+D$12)^1*(1+D$11)^1*D$47*D$26-(1+D$12)^1*(D$35+IF(1&lt;3,D$36,0))-Assumptions!$G$12*MAX(0,(1+D$12)^1*(1+D$11)^1*IF(1&gt;=3,D$16,1)*D$17+(1+D$11)^1*D$47*(1-D$37)*D$24-(1+D$12)^1*(1+D$11)^1*D$47*D$26-(1+D$12)^1*(D$35+IF(1&lt;3,D$36,0))-D$38)-D$43</f>
        <v/>
      </c>
      <c r="G60" s="23">
        <f>(1+D$12)^2*(1+D$11)^2*IF(2&gt;=3,D$16,1)*D$17+(1+D$11)^2*D$48*(1-D$37)*D$24-(1+D$12)^2*(1+D$11)^2*D$48*D$26-(1+D$12)^2*(D$35+IF(2&lt;3,D$36,0))-Assumptions!$G$12*MAX(0,(1+D$12)^2*(1+D$11)^2*IF(2&gt;=3,D$16,1)*D$17+(1+D$11)^2*D$48*(1-D$37)*D$24-(1+D$12)^2*(1+D$11)^2*D$48*D$26-(1+D$12)^2*(D$35+IF(2&lt;3,D$36,0))-D$38)-0</f>
        <v/>
      </c>
      <c r="H60" s="23">
        <f>(1+D$12)^3*(1+D$11)^3*IF(3&gt;=3,D$16,1)*D$17+(1+D$11)^3*D$49*(1-D$37)*D$24-(1+D$12)^3*(1+D$11)^3*D$49*D$26-(1+D$12)^3*(D$35+IF(3&lt;3,D$36,0))-Assumptions!$G$12*MAX(0,(1+D$12)^3*(1+D$11)^3*IF(3&gt;=3,D$16,1)*D$17+(1+D$11)^3*D$49*(1-D$37)*D$24-(1+D$12)^3*(1+D$11)^3*D$49*D$26-(1+D$12)^3*(D$35+IF(3&lt;3,D$36,0))-D$38)-0</f>
        <v/>
      </c>
      <c r="I60" s="23">
        <f>(1+D$12)^4*(1+D$11)^4*IF(4&gt;=3,D$16,1)*D$17+(1+D$11)^4*D$50*(1-D$37)*D$24-(1+D$12)^4*(1+D$11)^4*D$50*D$26-(1+D$12)^4*(D$35+IF(4&lt;3,D$36,0))-Assumptions!$G$12*MAX(0,(1+D$12)^4*(1+D$11)^4*IF(4&gt;=3,D$16,1)*D$17+(1+D$11)^4*D$50*(1-D$37)*D$24-(1+D$12)^4*(1+D$11)^4*D$50*D$26-(1+D$12)^4*(D$35+IF(4&lt;3,D$36,0))-D$38)-0</f>
        <v/>
      </c>
      <c r="J60" s="23">
        <f>(1+D$12)^5*(1+D$11)^5*IF(5&gt;=3,D$16,1)*D$17+(1+D$11)^5*D$51*(1-D$37)*D$24-(1+D$12)^5*(1+D$11)^5*D$51*D$26-(1+D$12)^5*(D$35+IF(5&lt;3,D$36,0))-Assumptions!$G$12*MAX(0,(1+D$12)^5*(1+D$11)^5*IF(5&gt;=3,D$16,1)*D$17+(1+D$11)^5*D$51*(1-D$37)*D$24-(1+D$12)^5*(1+D$11)^5*D$51*D$26-(1+D$12)^5*(D$35+IF(5&lt;3,D$36,0))-D$38)-0</f>
        <v/>
      </c>
      <c r="K60" s="23">
        <f>(1+D$12)^6*(1+D$11)^6*IF(6&gt;=3,D$16,1)*D$17+(1+D$11)^6*D$52*(1-D$37)*D$24-(1+D$12)^6*(1+D$11)^6*D$52*D$26-(1+D$12)^6*(D$35+IF(6&lt;3,D$36,0))-Assumptions!$G$12*MAX(0,(1+D$12)^6*(1+D$11)^6*IF(6&gt;=3,D$16,1)*D$17+(1+D$11)^6*D$52*(1-D$37)*D$24-(1+D$12)^6*(1+D$11)^6*D$52*D$26-(1+D$12)^6*(D$35+IF(6&lt;3,D$36,0))-D$38)-0</f>
        <v/>
      </c>
      <c r="L60" s="23">
        <f>(1+D$12)^7*(1+D$11)^7*IF(7&gt;=3,D$16,1)*D$17+(1+D$11)^7*D$53*(1-D$37)*D$24-(1+D$12)^7*(1+D$11)^7*D$53*D$26-(1+D$12)^7*(D$35+IF(7&lt;3,D$36,0))-Assumptions!$G$12*MAX(0,(1+D$12)^7*(1+D$11)^7*IF(7&gt;=3,D$16,1)*D$17+(1+D$11)^7*D$53*(1-D$37)*D$24-(1+D$12)^7*(1+D$11)^7*D$53*D$26-(1+D$12)^7*(D$35+IF(7&lt;3,D$36,0))-D$38)-0</f>
        <v/>
      </c>
      <c r="M60" s="23">
        <f>(1+D$12)^8*(1+D$11)^8*IF(8&gt;=3,D$16,1)*D$17+(1+D$11)^8*D$54*(1-D$37)*D$24-(1+D$12)^8*(1+D$11)^8*D$54*D$26-(1+D$12)^8*(D$35+IF(8&lt;3,D$36,0))-Assumptions!$G$12*MAX(0,(1+D$12)^8*(1+D$11)^8*IF(8&gt;=3,D$16,1)*D$17+(1+D$11)^8*D$54*(1-D$37)*D$24-(1+D$12)^8*(1+D$11)^8*D$54*D$26-(1+D$12)^8*(D$35+IF(8&lt;3,D$36,0))-D$38)-0</f>
        <v/>
      </c>
      <c r="N60" s="23">
        <f>(1+D$12)^9*(1+D$11)^9*IF(9&gt;=3,D$16,1)*D$17+(1+D$11)^9*D$55*(1-D$37)*D$24-(1+D$12)^9*(1+D$11)^9*D$55*D$26-(1+D$12)^9*(D$35+IF(9&lt;3,D$36,0))-Assumptions!$G$12*MAX(0,(1+D$12)^9*(1+D$11)^9*IF(9&gt;=3,D$16,1)*D$17+(1+D$11)^9*D$55*(1-D$37)*D$24-(1+D$12)^9*(1+D$11)^9*D$55*D$26-(1+D$12)^9*(D$35+IF(9&lt;3,D$36,0))-D$38)-0</f>
        <v/>
      </c>
    </row>
    <row r="61">
      <c r="A61" s="3" t="inlineStr">
        <is>
          <t>Optimistic</t>
        </is>
      </c>
      <c r="C61" s="23">
        <f>-E$40</f>
        <v/>
      </c>
      <c r="D61" s="23">
        <f>-E$41</f>
        <v/>
      </c>
      <c r="E61" s="23">
        <f>(1+E$12)^0*(1+E$11)^0*IF(0&gt;=3,E$16,1)*E$17+(1+E$11)^0*E$46*(1-E$37)*E$24-(1+E$12)^0*(1+E$11)^0*E$46*E$26-(1+E$12)^0*(E$35+IF(0&lt;3,E$36,0))-Assumptions!$G$12*MAX(0,(1+E$12)^0*(1+E$11)^0*IF(0&gt;=3,E$16,1)*E$17+(1+E$11)^0*E$46*(1-E$37)*E$24-(1+E$12)^0*(1+E$11)^0*E$46*E$26-(1+E$12)^0*(E$35+IF(0&lt;3,E$36,0))-E$38)-E$42</f>
        <v/>
      </c>
      <c r="F61" s="23">
        <f>(1+E$12)^1*(1+E$11)^1*IF(1&gt;=3,E$16,1)*E$17+(1+E$11)^1*E$47*(1-E$37)*E$24-(1+E$12)^1*(1+E$11)^1*E$47*E$26-(1+E$12)^1*(E$35+IF(1&lt;3,E$36,0))-Assumptions!$G$12*MAX(0,(1+E$12)^1*(1+E$11)^1*IF(1&gt;=3,E$16,1)*E$17+(1+E$11)^1*E$47*(1-E$37)*E$24-(1+E$12)^1*(1+E$11)^1*E$47*E$26-(1+E$12)^1*(E$35+IF(1&lt;3,E$36,0))-E$38)-E$43</f>
        <v/>
      </c>
      <c r="G61" s="23">
        <f>(1+E$12)^2*(1+E$11)^2*IF(2&gt;=3,E$16,1)*E$17+(1+E$11)^2*E$48*(1-E$37)*E$24-(1+E$12)^2*(1+E$11)^2*E$48*E$26-(1+E$12)^2*(E$35+IF(2&lt;3,E$36,0))-Assumptions!$G$12*MAX(0,(1+E$12)^2*(1+E$11)^2*IF(2&gt;=3,E$16,1)*E$17+(1+E$11)^2*E$48*(1-E$37)*E$24-(1+E$12)^2*(1+E$11)^2*E$48*E$26-(1+E$12)^2*(E$35+IF(2&lt;3,E$36,0))-E$38)-0</f>
        <v/>
      </c>
      <c r="H61" s="23">
        <f>(1+E$12)^3*(1+E$11)^3*IF(3&gt;=3,E$16,1)*E$17+(1+E$11)^3*E$49*(1-E$37)*E$24-(1+E$12)^3*(1+E$11)^3*E$49*E$26-(1+E$12)^3*(E$35+IF(3&lt;3,E$36,0))-Assumptions!$G$12*MAX(0,(1+E$12)^3*(1+E$11)^3*IF(3&gt;=3,E$16,1)*E$17+(1+E$11)^3*E$49*(1-E$37)*E$24-(1+E$12)^3*(1+E$11)^3*E$49*E$26-(1+E$12)^3*(E$35+IF(3&lt;3,E$36,0))-E$38)-0</f>
        <v/>
      </c>
      <c r="I61" s="23">
        <f>(1+E$12)^4*(1+E$11)^4*IF(4&gt;=3,E$16,1)*E$17+(1+E$11)^4*E$50*(1-E$37)*E$24-(1+E$12)^4*(1+E$11)^4*E$50*E$26-(1+E$12)^4*(E$35+IF(4&lt;3,E$36,0))-Assumptions!$G$12*MAX(0,(1+E$12)^4*(1+E$11)^4*IF(4&gt;=3,E$16,1)*E$17+(1+E$11)^4*E$50*(1-E$37)*E$24-(1+E$12)^4*(1+E$11)^4*E$50*E$26-(1+E$12)^4*(E$35+IF(4&lt;3,E$36,0))-E$38)-0</f>
        <v/>
      </c>
      <c r="J61" s="23">
        <f>(1+E$12)^5*(1+E$11)^5*IF(5&gt;=3,E$16,1)*E$17+(1+E$11)^5*E$51*(1-E$37)*E$24-(1+E$12)^5*(1+E$11)^5*E$51*E$26-(1+E$12)^5*(E$35+IF(5&lt;3,E$36,0))-Assumptions!$G$12*MAX(0,(1+E$12)^5*(1+E$11)^5*IF(5&gt;=3,E$16,1)*E$17+(1+E$11)^5*E$51*(1-E$37)*E$24-(1+E$12)^5*(1+E$11)^5*E$51*E$26-(1+E$12)^5*(E$35+IF(5&lt;3,E$36,0))-E$38)-0</f>
        <v/>
      </c>
      <c r="K61" s="23">
        <f>(1+E$12)^6*(1+E$11)^6*IF(6&gt;=3,E$16,1)*E$17+(1+E$11)^6*E$52*(1-E$37)*E$24-(1+E$12)^6*(1+E$11)^6*E$52*E$26-(1+E$12)^6*(E$35+IF(6&lt;3,E$36,0))-Assumptions!$G$12*MAX(0,(1+E$12)^6*(1+E$11)^6*IF(6&gt;=3,E$16,1)*E$17+(1+E$11)^6*E$52*(1-E$37)*E$24-(1+E$12)^6*(1+E$11)^6*E$52*E$26-(1+E$12)^6*(E$35+IF(6&lt;3,E$36,0))-E$38)-0</f>
        <v/>
      </c>
      <c r="L61" s="23">
        <f>(1+E$12)^7*(1+E$11)^7*IF(7&gt;=3,E$16,1)*E$17+(1+E$11)^7*E$53*(1-E$37)*E$24-(1+E$12)^7*(1+E$11)^7*E$53*E$26-(1+E$12)^7*(E$35+IF(7&lt;3,E$36,0))-Assumptions!$G$12*MAX(0,(1+E$12)^7*(1+E$11)^7*IF(7&gt;=3,E$16,1)*E$17+(1+E$11)^7*E$53*(1-E$37)*E$24-(1+E$12)^7*(1+E$11)^7*E$53*E$26-(1+E$12)^7*(E$35+IF(7&lt;3,E$36,0))-E$38)-0</f>
        <v/>
      </c>
      <c r="M61" s="23">
        <f>(1+E$12)^8*(1+E$11)^8*IF(8&gt;=3,E$16,1)*E$17+(1+E$11)^8*E$54*(1-E$37)*E$24-(1+E$12)^8*(1+E$11)^8*E$54*E$26-(1+E$12)^8*(E$35+IF(8&lt;3,E$36,0))-Assumptions!$G$12*MAX(0,(1+E$12)^8*(1+E$11)^8*IF(8&gt;=3,E$16,1)*E$17+(1+E$11)^8*E$54*(1-E$37)*E$24-(1+E$12)^8*(1+E$11)^8*E$54*E$26-(1+E$12)^8*(E$35+IF(8&lt;3,E$36,0))-E$38)-0</f>
        <v/>
      </c>
      <c r="N61" s="23">
        <f>(1+E$12)^9*(1+E$11)^9*IF(9&gt;=3,E$16,1)*E$17+(1+E$11)^9*E$55*(1-E$37)*E$24-(1+E$12)^9*(1+E$11)^9*E$55*E$26-(1+E$12)^9*(E$35+IF(9&lt;3,E$36,0))-Assumptions!$G$12*MAX(0,(1+E$12)^9*(1+E$11)^9*IF(9&gt;=3,E$16,1)*E$17+(1+E$11)^9*E$55*(1-E$37)*E$24-(1+E$12)^9*(1+E$11)^9*E$55*E$26-(1+E$12)^9*(E$35+IF(9&lt;3,E$36,0))-E$38)-0</f>
        <v/>
      </c>
    </row>
    <row r="62">
      <c r="A62" s="3" t="inlineStr">
        <is>
          <t>Cumulative FCF:</t>
        </is>
      </c>
    </row>
    <row r="63">
      <c r="A63" s="24" t="inlineStr">
        <is>
          <t xml:space="preserve">  Conservative</t>
        </is>
      </c>
      <c r="C63" s="23">
        <f>C59</f>
        <v/>
      </c>
      <c r="D63" s="23">
        <f>C63+D59</f>
        <v/>
      </c>
      <c r="E63" s="23">
        <f>D63+E59</f>
        <v/>
      </c>
      <c r="F63" s="23">
        <f>E63+F59</f>
        <v/>
      </c>
      <c r="G63" s="23">
        <f>F63+G59</f>
        <v/>
      </c>
      <c r="H63" s="23">
        <f>G63+H59</f>
        <v/>
      </c>
      <c r="I63" s="23">
        <f>H63+I59</f>
        <v/>
      </c>
      <c r="J63" s="23">
        <f>I63+J59</f>
        <v/>
      </c>
      <c r="K63" s="23">
        <f>J63+K59</f>
        <v/>
      </c>
      <c r="L63" s="23">
        <f>K63+L59</f>
        <v/>
      </c>
      <c r="M63" s="23">
        <f>L63+M59</f>
        <v/>
      </c>
      <c r="N63" s="23">
        <f>M63+N59</f>
        <v/>
      </c>
    </row>
    <row r="64">
      <c r="A64" s="24" t="inlineStr">
        <is>
          <t xml:space="preserve">  Base</t>
        </is>
      </c>
      <c r="C64" s="23">
        <f>C60</f>
        <v/>
      </c>
      <c r="D64" s="23">
        <f>C64+D60</f>
        <v/>
      </c>
      <c r="E64" s="23">
        <f>D64+E60</f>
        <v/>
      </c>
      <c r="F64" s="23">
        <f>E64+F60</f>
        <v/>
      </c>
      <c r="G64" s="23">
        <f>F64+G60</f>
        <v/>
      </c>
      <c r="H64" s="23">
        <f>G64+H60</f>
        <v/>
      </c>
      <c r="I64" s="23">
        <f>H64+I60</f>
        <v/>
      </c>
      <c r="J64" s="23">
        <f>I64+J60</f>
        <v/>
      </c>
      <c r="K64" s="23">
        <f>J64+K60</f>
        <v/>
      </c>
      <c r="L64" s="23">
        <f>K64+L60</f>
        <v/>
      </c>
      <c r="M64" s="23">
        <f>L64+M60</f>
        <v/>
      </c>
      <c r="N64" s="23">
        <f>M64+N60</f>
        <v/>
      </c>
    </row>
    <row r="65">
      <c r="A65" s="24" t="inlineStr">
        <is>
          <t xml:space="preserve">  Optimistic</t>
        </is>
      </c>
      <c r="C65" s="23">
        <f>C61</f>
        <v/>
      </c>
      <c r="D65" s="23">
        <f>C65+D61</f>
        <v/>
      </c>
      <c r="E65" s="23">
        <f>D65+E61</f>
        <v/>
      </c>
      <c r="F65" s="23">
        <f>E65+F61</f>
        <v/>
      </c>
      <c r="G65" s="23">
        <f>F65+G61</f>
        <v/>
      </c>
      <c r="H65" s="23">
        <f>G65+H61</f>
        <v/>
      </c>
      <c r="I65" s="23">
        <f>H65+I61</f>
        <v/>
      </c>
      <c r="J65" s="23">
        <f>I65+J61</f>
        <v/>
      </c>
      <c r="K65" s="23">
        <f>J65+K61</f>
        <v/>
      </c>
      <c r="L65" s="23">
        <f>K65+L61</f>
        <v/>
      </c>
      <c r="M65" s="23">
        <f>L65+M61</f>
        <v/>
      </c>
      <c r="N65" s="23">
        <f>M65+N61</f>
        <v/>
      </c>
    </row>
    <row r="66"/>
    <row r="67">
      <c r="A67" s="6" t="inlineStr">
        <is>
          <t>METRICS</t>
        </is>
      </c>
      <c r="B67" s="7" t="n"/>
      <c r="C67" s="7" t="n"/>
      <c r="D67" s="7" t="n"/>
      <c r="E67" s="7" t="n"/>
      <c r="F67" s="7" t="n"/>
      <c r="G67" s="7" t="n"/>
      <c r="H67" s="7" t="n"/>
      <c r="I67" s="7" t="n"/>
      <c r="J67" s="7" t="n"/>
      <c r="K67" s="7" t="n"/>
      <c r="L67" s="7" t="n"/>
      <c r="M67" s="7" t="n"/>
      <c r="N67" s="7" t="n"/>
    </row>
    <row r="68">
      <c r="A68" s="5" t="inlineStr">
        <is>
          <t>Metric</t>
        </is>
      </c>
      <c r="B68" s="5" t="inlineStr">
        <is>
          <t>Unit</t>
        </is>
      </c>
      <c r="C68" s="5" t="inlineStr">
        <is>
          <t>Conservative</t>
        </is>
      </c>
      <c r="D68" s="5" t="inlineStr">
        <is>
          <t>Base</t>
        </is>
      </c>
      <c r="E68" s="5" t="inlineStr">
        <is>
          <t>Optimistic</t>
        </is>
      </c>
      <c r="F68" s="5" t="inlineStr"/>
    </row>
    <row r="69">
      <c r="A69" s="3" t="inlineStr">
        <is>
          <t>IRR (2026-2037)</t>
        </is>
      </c>
      <c r="B69" s="30" t="inlineStr"/>
      <c r="C69" s="19">
        <f>IFERROR(IRR(C59:N59),"n.m.")</f>
        <v/>
      </c>
      <c r="D69" s="19">
        <f>IFERROR(IRR(C60:N60),"n.m.")</f>
        <v/>
      </c>
      <c r="E69" s="19">
        <f>IFERROR(IRR(C61:N61),"n.m.")</f>
        <v/>
      </c>
    </row>
    <row r="70">
      <c r="A70" s="3" t="inlineStr">
        <is>
          <t>NPV @ 8% (AED m)</t>
        </is>
      </c>
      <c r="B70" s="30" t="inlineStr"/>
      <c r="C70" s="17">
        <f>NPV(0.08,D59:N59)+C59</f>
        <v/>
      </c>
      <c r="D70" s="17">
        <f>NPV(0.08,D60:N60)+C60</f>
        <v/>
      </c>
      <c r="E70" s="17">
        <f>NPV(0.08,D61:N61)+C61</f>
        <v/>
      </c>
    </row>
    <row r="71">
      <c r="A71" s="3" t="inlineStr">
        <is>
          <t>NPV @ 10% (AED m)</t>
        </is>
      </c>
      <c r="B71" s="30" t="inlineStr"/>
      <c r="C71" s="17">
        <f>NPV(0.1,D59:N59)+C59</f>
        <v/>
      </c>
      <c r="D71" s="17">
        <f>NPV(0.1,D60:N60)+C60</f>
        <v/>
      </c>
      <c r="E71" s="17">
        <f>NPV(0.1,D61:N61)+C61</f>
        <v/>
      </c>
    </row>
    <row r="72">
      <c r="A72" s="3" t="inlineStr">
        <is>
          <t>Payback year</t>
        </is>
      </c>
      <c r="B72" s="30" t="inlineStr"/>
      <c r="C72" s="17">
        <f>IF(MAX(C63:N63)&lt;0,"n.m.",INDEX(C58:N58,SUMPRODUCT((C63:N63&lt;0)*1)+1))</f>
        <v/>
      </c>
      <c r="D72" s="17">
        <f>IF(MAX(C64:N64)&lt;0,"n.m.",INDEX(C58:N58,SUMPRODUCT((C64:N64&lt;0)*1)+1))</f>
        <v/>
      </c>
      <c r="E72" s="17">
        <f>IF(MAX(C65:N65)&lt;0,"n.m.",INDEX(C58:N58,SUMPRODUCT((C65:N65&lt;0)*1)+1))</f>
        <v/>
      </c>
    </row>
    <row r="73">
      <c r="A73" s="3" t="inlineStr">
        <is>
          <t>Peak funding (AED m)</t>
        </is>
      </c>
      <c r="B73" s="30" t="inlineStr"/>
      <c r="C73" s="17">
        <f>-MIN(C63:N63)</f>
        <v/>
      </c>
      <c r="D73" s="17">
        <f>-MIN(C64:N64)</f>
        <v/>
      </c>
      <c r="E73" s="17">
        <f>-MIN(C65:N65)</f>
        <v/>
      </c>
    </row>
    <row r="74">
      <c r="A74" s="3" t="inlineStr">
        <is>
          <t>Total CAPEX (AED m)</t>
        </is>
      </c>
      <c r="B74" s="30" t="inlineStr"/>
      <c r="C74" s="17">
        <f>C44</f>
        <v/>
      </c>
      <c r="D74" s="17">
        <f>D44</f>
        <v/>
      </c>
      <c r="E74" s="17">
        <f>E44</f>
        <v/>
      </c>
    </row>
    <row r="75"/>
    <row r="76">
      <c r="A76" s="24" t="inlineStr">
        <is>
          <t>Reading: Conservative assumes slower adoption (→80%), weaker commodity prices, higher unit costs and a +20% producer-fee reset from year 4 - the fee-review trigger that restores cost recovery.</t>
        </is>
      </c>
    </row>
    <row r="77">
      <c r="A77" s="24" t="inlineStr">
        <is>
          <t>Optimistic assumes faster adoption (→91%), stronger prices, lower costs and a −15% fee reset from year 4 (non-profit principle returns surplus to producers).</t>
        </is>
      </c>
    </row>
    <row r="78">
      <c r="A78" s="24" t="inlineStr">
        <is>
          <t>IRR is front-loaded by ramp-up surpluses (fees on 100% of POM vs costs on returned volumes) - same pattern as Ireland's audited year 1 (R4).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H23"/>
  <sheetViews>
    <sheetView showGridLines="0" workbookViewId="0">
      <pane xSplit="1" ySplit="5" topLeftCell="B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</cols>
  <sheetData>
    <row r="1">
      <c r="A1" s="1" t="inlineStr">
        <is>
          <t>Sensitivity - Project IRR vs Key Drivers (one-way, active case)</t>
        </is>
      </c>
    </row>
    <row r="2">
      <c r="A2" s="2" t="inlineStr">
        <is>
          <t>Live formulas on the same unlevered engine as Scenarios, referencing the ACTIVE Assumptions column. Return-rate rows capped at 95%.</t>
        </is>
      </c>
    </row>
    <row r="3">
      <c r="A3" s="3" t="inlineStr">
        <is>
          <t>Scale factors (blue = inputs; 1.00 = active case):</t>
        </is>
      </c>
    </row>
    <row r="4"/>
    <row r="5">
      <c r="A5" s="5" t="inlineStr">
        <is>
          <t>Variant</t>
        </is>
      </c>
      <c r="B5" s="5" t="inlineStr">
        <is>
          <t>Return rate x</t>
        </is>
      </c>
      <c r="C5" s="5" t="inlineStr">
        <is>
          <t>Fees x</t>
        </is>
      </c>
      <c r="D5" s="5" t="inlineStr">
        <is>
          <t>rPET x</t>
        </is>
      </c>
      <c r="E5" s="5" t="inlineStr">
        <is>
          <t>UBC x</t>
        </is>
      </c>
      <c r="F5" s="5" t="inlineStr">
        <is>
          <t>RVM capex x</t>
        </is>
      </c>
      <c r="G5" s="5" t="inlineStr">
        <is>
          <t>Variable cost x</t>
        </is>
      </c>
      <c r="I5" s="13" t="inlineStr">
        <is>
          <t>fees full</t>
        </is>
      </c>
      <c r="J5" s="13" t="inlineStr">
        <is>
          <t>mat full</t>
        </is>
      </c>
      <c r="K5" s="13" t="inlineStr">
        <is>
          <t>var full</t>
        </is>
      </c>
      <c r="L5" s="13" t="inlineStr">
        <is>
          <t>fixed</t>
        </is>
      </c>
      <c r="M5" s="13" t="inlineStr">
        <is>
          <t>awareX</t>
        </is>
      </c>
      <c r="N5" s="13" t="inlineStr">
        <is>
          <t>dep proxy</t>
        </is>
      </c>
      <c r="O5" s="13" t="inlineStr">
        <is>
          <t>capex26</t>
        </is>
      </c>
      <c r="P5" s="13" t="inlineStr">
        <is>
          <t>capex27</t>
        </is>
      </c>
      <c r="Q5" s="13" t="inlineStr">
        <is>
          <t>capex28</t>
        </is>
      </c>
      <c r="R5" s="13" t="inlineStr">
        <is>
          <t>capex29</t>
        </is>
      </c>
      <c r="S5" s="9" t="inlineStr"/>
      <c r="T5" s="31" t="n">
        <v>2026</v>
      </c>
      <c r="U5" s="31" t="n">
        <v>2027</v>
      </c>
      <c r="V5" s="31" t="n">
        <v>2028</v>
      </c>
      <c r="W5" s="31" t="n">
        <v>2029</v>
      </c>
      <c r="X5" s="31" t="n">
        <v>2030</v>
      </c>
      <c r="Y5" s="31" t="n">
        <v>2031</v>
      </c>
      <c r="Z5" s="31" t="n">
        <v>2032</v>
      </c>
      <c r="AA5" s="31" t="n">
        <v>2033</v>
      </c>
      <c r="AB5" s="31" t="n">
        <v>2034</v>
      </c>
      <c r="AC5" s="31" t="n">
        <v>2035</v>
      </c>
      <c r="AD5" s="31" t="n">
        <v>2036</v>
      </c>
      <c r="AE5" s="31" t="n">
        <v>2037</v>
      </c>
      <c r="AG5" s="31" t="inlineStr">
        <is>
          <t>IRR</t>
        </is>
      </c>
      <c r="AH5" s="31" t="inlineStr">
        <is>
          <t>Δ vs base (pts)</t>
        </is>
      </c>
    </row>
    <row r="6">
      <c r="A6" s="9" t="inlineStr">
        <is>
          <t>Base (active case)</t>
        </is>
      </c>
      <c r="B6" s="32" t="n">
        <v>1</v>
      </c>
      <c r="C6" s="32" t="n">
        <v>1</v>
      </c>
      <c r="D6" s="32" t="n">
        <v>1</v>
      </c>
      <c r="E6" s="32" t="n">
        <v>1</v>
      </c>
      <c r="F6" s="32" t="n">
        <v>1</v>
      </c>
      <c r="G6" s="32" t="n">
        <v>1</v>
      </c>
      <c r="I6" s="23">
        <f>$C6*(Assumptions!$G$15*Assumptions!$G$60+Assumptions!$G$16*Assumptions!$G$61+Assumptions!$G$17*Assumptions!$G$62)*1000</f>
        <v/>
      </c>
      <c r="J6" s="23">
        <f>(Assumptions!$G$15*Assumptions!$G$67*Assumptions!$G$64*Assumptions!$G$7*$D6+Assumptions!$G$16*Assumptions!$G$68*Assumptions!$G$65*Assumptions!$G$7*$E6+Assumptions!$G$17*Assumptions!$G$69*Assumptions!$G$66)/1000</f>
        <v/>
      </c>
      <c r="K6" s="23">
        <f>(Assumptions!$G$15+Assumptions!$G$16+Assumptions!$G$17)*(Assumptions!$G$48+Assumptions!$G$49+Assumptions!$G$50+Assumptions!$G$51)*$G6*1000</f>
        <v/>
      </c>
      <c r="L6" s="23">
        <f>Assumptions!$G$53+Assumptions!$G$54+Assumptions!$G$56+Assumptions!$G$57+Assumptions!$G$31*Assumptions!$G$52/1000000</f>
        <v/>
      </c>
      <c r="M6" s="23">
        <f>Assumptions!$G$55-Assumptions!$G$56</f>
        <v/>
      </c>
      <c r="N6" s="25">
        <f>Assumptions!$G$31*Assumptions!$G$32/1000000*$F6*(1+Assumptions!$G$43)/Assumptions!$G$33+3*Assumptions!$G$35*(1+Assumptions!$G$43)/Assumptions!$G$36+Assumptions!$G$37*(1+Assumptions!$G$43)/Assumptions!$G$38+Assumptions!$G$39*(1+Assumptions!$G$43)/Assumptions!$G$40+Assumptions!$G$41/Assumptions!$G$42</f>
        <v/>
      </c>
      <c r="O6" s="25">
        <f>0.5*Assumptions!$G$37+0.55*Assumptions!$G$41+Assumptions!$G$43*0.5*Assumptions!$G$37</f>
        <v/>
      </c>
      <c r="P6" s="25">
        <f>0.34*Assumptions!$G$31*Assumptions!$G$32/1000000*$F6+Assumptions!$G$35+0.5*Assumptions!$G$37+0.6*Assumptions!$G$39+0.45*Assumptions!$G$41+Assumptions!$G$43*(0.34*Assumptions!$G$31*Assumptions!$G$32/1000000*$F6+Assumptions!$G$35+0.5*Assumptions!$G$37+0.6*Assumptions!$G$39)</f>
        <v/>
      </c>
      <c r="Q6" s="25">
        <f>0.43*Assumptions!$G$31*Assumptions!$G$32/1000000*$F6+2*Assumptions!$G$35+0.4*Assumptions!$G$39+Assumptions!$G$43*(0.43*Assumptions!$G$31*Assumptions!$G$32/1000000*$F6+2*Assumptions!$G$35+0.4*Assumptions!$G$39)</f>
        <v/>
      </c>
      <c r="R6" s="25">
        <f>0.23*Assumptions!$G$31*Assumptions!$G$32/1000000*$F6*(1+Assumptions!$G$43)</f>
        <v/>
      </c>
      <c r="T6" s="23">
        <f>-O6</f>
        <v/>
      </c>
      <c r="U6" s="23">
        <f>-P6</f>
        <v/>
      </c>
      <c r="V6" s="23">
        <f>(1+Assumptions!$G$11)^0*(1+Assumptions!$G$18)^0*$I6+(1+Assumptions!$G$18)^0*MIN(0.95,Assumptions!$G$20*$B6)*(1-Assumptions!$G$58)*$J6-(1+Assumptions!$G$11)^0*(1+Assumptions!$G$18)^0*MIN(0.95,Assumptions!$G$20*$B6)*$K6-(1+Assumptions!$G$11)^0*($L6+IF(0&lt;3,$M6,0))-Assumptions!$G$12*MAX(0,(1+Assumptions!$G$11)^0*(1+Assumptions!$G$18)^0*$I6+(1+Assumptions!$G$18)^0*MIN(0.95,Assumptions!$G$20*$B6)*(1-Assumptions!$G$58)*$J6-(1+Assumptions!$G$11)^0*(1+Assumptions!$G$18)^0*MIN(0.95,Assumptions!$G$20*$B6)*$K6-(1+Assumptions!$G$11)^0*($L6+IF(0&lt;3,$M6,0))-$N6)-$Q6</f>
        <v/>
      </c>
      <c r="W6" s="23">
        <f>(1+Assumptions!$G$11)^1*(1+Assumptions!$G$18)^1*$I6+(1+Assumptions!$G$18)^1*MIN(0.95,Assumptions!$G$21*$B6)*(1-Assumptions!$G$58)*$J6-(1+Assumptions!$G$11)^1*(1+Assumptions!$G$18)^1*MIN(0.95,Assumptions!$G$21*$B6)*$K6-(1+Assumptions!$G$11)^1*($L6+IF(1&lt;3,$M6,0))-Assumptions!$G$12*MAX(0,(1+Assumptions!$G$11)^1*(1+Assumptions!$G$18)^1*$I6+(1+Assumptions!$G$18)^1*MIN(0.95,Assumptions!$G$21*$B6)*(1-Assumptions!$G$58)*$J6-(1+Assumptions!$G$11)^1*(1+Assumptions!$G$18)^1*MIN(0.95,Assumptions!$G$21*$B6)*$K6-(1+Assumptions!$G$11)^1*($L6+IF(1&lt;3,$M6,0))-$N6)-$R6</f>
        <v/>
      </c>
      <c r="X6" s="23">
        <f>(1+Assumptions!$G$11)^2*(1+Assumptions!$G$18)^2*$I6+(1+Assumptions!$G$18)^2*MIN(0.95,Assumptions!$G$22*$B6)*(1-Assumptions!$G$58)*$J6-(1+Assumptions!$G$11)^2*(1+Assumptions!$G$18)^2*MIN(0.95,Assumptions!$G$22*$B6)*$K6-(1+Assumptions!$G$11)^2*($L6+IF(2&lt;3,$M6,0))-Assumptions!$G$12*MAX(0,(1+Assumptions!$G$11)^2*(1+Assumptions!$G$18)^2*$I6+(1+Assumptions!$G$18)^2*MIN(0.95,Assumptions!$G$22*$B6)*(1-Assumptions!$G$58)*$J6-(1+Assumptions!$G$11)^2*(1+Assumptions!$G$18)^2*MIN(0.95,Assumptions!$G$22*$B6)*$K6-(1+Assumptions!$G$11)^2*($L6+IF(2&lt;3,$M6,0))-$N6)-0</f>
        <v/>
      </c>
      <c r="Y6" s="23">
        <f>(1+Assumptions!$G$11)^3*(1+Assumptions!$G$18)^3*$I6+(1+Assumptions!$G$18)^3*MIN(0.95,Assumptions!$G$23*$B6)*(1-Assumptions!$G$58)*$J6-(1+Assumptions!$G$11)^3*(1+Assumptions!$G$18)^3*MIN(0.95,Assumptions!$G$23*$B6)*$K6-(1+Assumptions!$G$11)^3*($L6+IF(3&lt;3,$M6,0))-Assumptions!$G$12*MAX(0,(1+Assumptions!$G$11)^3*(1+Assumptions!$G$18)^3*$I6+(1+Assumptions!$G$18)^3*MIN(0.95,Assumptions!$G$23*$B6)*(1-Assumptions!$G$58)*$J6-(1+Assumptions!$G$11)^3*(1+Assumptions!$G$18)^3*MIN(0.95,Assumptions!$G$23*$B6)*$K6-(1+Assumptions!$G$11)^3*($L6+IF(3&lt;3,$M6,0))-$N6)-0</f>
        <v/>
      </c>
      <c r="Z6" s="23">
        <f>(1+Assumptions!$G$11)^4*(1+Assumptions!$G$18)^4*$I6+(1+Assumptions!$G$18)^4*MIN(0.95,Assumptions!$G$24*$B6)*(1-Assumptions!$G$58)*$J6-(1+Assumptions!$G$11)^4*(1+Assumptions!$G$18)^4*MIN(0.95,Assumptions!$G$24*$B6)*$K6-(1+Assumptions!$G$11)^4*($L6+IF(4&lt;3,$M6,0))-Assumptions!$G$12*MAX(0,(1+Assumptions!$G$11)^4*(1+Assumptions!$G$18)^4*$I6+(1+Assumptions!$G$18)^4*MIN(0.95,Assumptions!$G$24*$B6)*(1-Assumptions!$G$58)*$J6-(1+Assumptions!$G$11)^4*(1+Assumptions!$G$18)^4*MIN(0.95,Assumptions!$G$24*$B6)*$K6-(1+Assumptions!$G$11)^4*($L6+IF(4&lt;3,$M6,0))-$N6)-0</f>
        <v/>
      </c>
      <c r="AA6" s="23">
        <f>(1+Assumptions!$G$11)^5*(1+Assumptions!$G$18)^5*$I6+(1+Assumptions!$G$18)^5*MIN(0.95,Assumptions!$G$25*$B6)*(1-Assumptions!$G$58)*$J6-(1+Assumptions!$G$11)^5*(1+Assumptions!$G$18)^5*MIN(0.95,Assumptions!$G$25*$B6)*$K6-(1+Assumptions!$G$11)^5*($L6+IF(5&lt;3,$M6,0))-Assumptions!$G$12*MAX(0,(1+Assumptions!$G$11)^5*(1+Assumptions!$G$18)^5*$I6+(1+Assumptions!$G$18)^5*MIN(0.95,Assumptions!$G$25*$B6)*(1-Assumptions!$G$58)*$J6-(1+Assumptions!$G$11)^5*(1+Assumptions!$G$18)^5*MIN(0.95,Assumptions!$G$25*$B6)*$K6-(1+Assumptions!$G$11)^5*($L6+IF(5&lt;3,$M6,0))-$N6)-0</f>
        <v/>
      </c>
      <c r="AB6" s="23">
        <f>(1+Assumptions!$G$11)^6*(1+Assumptions!$G$18)^6*$I6+(1+Assumptions!$G$18)^6*MIN(0.95,Assumptions!$G$26*$B6)*(1-Assumptions!$G$58)*$J6-(1+Assumptions!$G$11)^6*(1+Assumptions!$G$18)^6*MIN(0.95,Assumptions!$G$26*$B6)*$K6-(1+Assumptions!$G$11)^6*($L6+IF(6&lt;3,$M6,0))-Assumptions!$G$12*MAX(0,(1+Assumptions!$G$11)^6*(1+Assumptions!$G$18)^6*$I6+(1+Assumptions!$G$18)^6*MIN(0.95,Assumptions!$G$26*$B6)*(1-Assumptions!$G$58)*$J6-(1+Assumptions!$G$11)^6*(1+Assumptions!$G$18)^6*MIN(0.95,Assumptions!$G$26*$B6)*$K6-(1+Assumptions!$G$11)^6*($L6+IF(6&lt;3,$M6,0))-$N6)-0</f>
        <v/>
      </c>
      <c r="AC6" s="23">
        <f>(1+Assumptions!$G$11)^7*(1+Assumptions!$G$18)^7*$I6+(1+Assumptions!$G$18)^7*MIN(0.95,Assumptions!$G$27*$B6)*(1-Assumptions!$G$58)*$J6-(1+Assumptions!$G$11)^7*(1+Assumptions!$G$18)^7*MIN(0.95,Assumptions!$G$27*$B6)*$K6-(1+Assumptions!$G$11)^7*($L6+IF(7&lt;3,$M6,0))-Assumptions!$G$12*MAX(0,(1+Assumptions!$G$11)^7*(1+Assumptions!$G$18)^7*$I6+(1+Assumptions!$G$18)^7*MIN(0.95,Assumptions!$G$27*$B6)*(1-Assumptions!$G$58)*$J6-(1+Assumptions!$G$11)^7*(1+Assumptions!$G$18)^7*MIN(0.95,Assumptions!$G$27*$B6)*$K6-(1+Assumptions!$G$11)^7*($L6+IF(7&lt;3,$M6,0))-$N6)-0</f>
        <v/>
      </c>
      <c r="AD6" s="23">
        <f>(1+Assumptions!$G$11)^8*(1+Assumptions!$G$18)^8*$I6+(1+Assumptions!$G$18)^8*MIN(0.95,Assumptions!$G$28*$B6)*(1-Assumptions!$G$58)*$J6-(1+Assumptions!$G$11)^8*(1+Assumptions!$G$18)^8*MIN(0.95,Assumptions!$G$28*$B6)*$K6-(1+Assumptions!$G$11)^8*($L6+IF(8&lt;3,$M6,0))-Assumptions!$G$12*MAX(0,(1+Assumptions!$G$11)^8*(1+Assumptions!$G$18)^8*$I6+(1+Assumptions!$G$18)^8*MIN(0.95,Assumptions!$G$28*$B6)*(1-Assumptions!$G$58)*$J6-(1+Assumptions!$G$11)^8*(1+Assumptions!$G$18)^8*MIN(0.95,Assumptions!$G$28*$B6)*$K6-(1+Assumptions!$G$11)^8*($L6+IF(8&lt;3,$M6,0))-$N6)-0</f>
        <v/>
      </c>
      <c r="AE6" s="23">
        <f>(1+Assumptions!$G$11)^9*(1+Assumptions!$G$18)^9*$I6+(1+Assumptions!$G$18)^9*MIN(0.95,Assumptions!$G$29*$B6)*(1-Assumptions!$G$58)*$J6-(1+Assumptions!$G$11)^9*(1+Assumptions!$G$18)^9*MIN(0.95,Assumptions!$G$29*$B6)*$K6-(1+Assumptions!$G$11)^9*($L6+IF(9&lt;3,$M6,0))-Assumptions!$G$12*MAX(0,(1+Assumptions!$G$11)^9*(1+Assumptions!$G$18)^9*$I6+(1+Assumptions!$G$18)^9*MIN(0.95,Assumptions!$G$29*$B6)*(1-Assumptions!$G$58)*$J6-(1+Assumptions!$G$11)^9*(1+Assumptions!$G$18)^9*MIN(0.95,Assumptions!$G$29*$B6)*$K6-(1+Assumptions!$G$11)^9*($L6+IF(9&lt;3,$M6,0))-$N6)-0</f>
        <v/>
      </c>
      <c r="AG6" s="19">
        <f>IFERROR(IRR(T6:AE6),"n.m.")</f>
        <v/>
      </c>
      <c r="AH6" s="33">
        <f>IFERROR((AG6-AG$6)*100,"n.m.")</f>
        <v/>
      </c>
    </row>
    <row r="7">
      <c r="A7" s="9" t="inlineStr">
        <is>
          <t>Return rate −5pts</t>
        </is>
      </c>
      <c r="B7" s="32" t="n">
        <v>0.9437</v>
      </c>
      <c r="C7" s="32" t="n">
        <v>1</v>
      </c>
      <c r="D7" s="32" t="n">
        <v>1</v>
      </c>
      <c r="E7" s="32" t="n">
        <v>1</v>
      </c>
      <c r="F7" s="32" t="n">
        <v>1</v>
      </c>
      <c r="G7" s="32" t="n">
        <v>1</v>
      </c>
      <c r="I7" s="23">
        <f>$C7*(Assumptions!$G$15*Assumptions!$G$60+Assumptions!$G$16*Assumptions!$G$61+Assumptions!$G$17*Assumptions!$G$62)*1000</f>
        <v/>
      </c>
      <c r="J7" s="23">
        <f>(Assumptions!$G$15*Assumptions!$G$67*Assumptions!$G$64*Assumptions!$G$7*$D7+Assumptions!$G$16*Assumptions!$G$68*Assumptions!$G$65*Assumptions!$G$7*$E7+Assumptions!$G$17*Assumptions!$G$69*Assumptions!$G$66)/1000</f>
        <v/>
      </c>
      <c r="K7" s="23">
        <f>(Assumptions!$G$15+Assumptions!$G$16+Assumptions!$G$17)*(Assumptions!$G$48+Assumptions!$G$49+Assumptions!$G$50+Assumptions!$G$51)*$G7*1000</f>
        <v/>
      </c>
      <c r="L7" s="23">
        <f>Assumptions!$G$53+Assumptions!$G$54+Assumptions!$G$56+Assumptions!$G$57+Assumptions!$G$31*Assumptions!$G$52/1000000</f>
        <v/>
      </c>
      <c r="M7" s="23">
        <f>Assumptions!$G$55-Assumptions!$G$56</f>
        <v/>
      </c>
      <c r="N7" s="25">
        <f>Assumptions!$G$31*Assumptions!$G$32/1000000*$F7*(1+Assumptions!$G$43)/Assumptions!$G$33+3*Assumptions!$G$35*(1+Assumptions!$G$43)/Assumptions!$G$36+Assumptions!$G$37*(1+Assumptions!$G$43)/Assumptions!$G$38+Assumptions!$G$39*(1+Assumptions!$G$43)/Assumptions!$G$40+Assumptions!$G$41/Assumptions!$G$42</f>
        <v/>
      </c>
      <c r="O7" s="25">
        <f>0.5*Assumptions!$G$37+0.55*Assumptions!$G$41+Assumptions!$G$43*0.5*Assumptions!$G$37</f>
        <v/>
      </c>
      <c r="P7" s="25">
        <f>0.34*Assumptions!$G$31*Assumptions!$G$32/1000000*$F7+Assumptions!$G$35+0.5*Assumptions!$G$37+0.6*Assumptions!$G$39+0.45*Assumptions!$G$41+Assumptions!$G$43*(0.34*Assumptions!$G$31*Assumptions!$G$32/1000000*$F7+Assumptions!$G$35+0.5*Assumptions!$G$37+0.6*Assumptions!$G$39)</f>
        <v/>
      </c>
      <c r="Q7" s="25">
        <f>0.43*Assumptions!$G$31*Assumptions!$G$32/1000000*$F7+2*Assumptions!$G$35+0.4*Assumptions!$G$39+Assumptions!$G$43*(0.43*Assumptions!$G$31*Assumptions!$G$32/1000000*$F7+2*Assumptions!$G$35+0.4*Assumptions!$G$39)</f>
        <v/>
      </c>
      <c r="R7" s="25">
        <f>0.23*Assumptions!$G$31*Assumptions!$G$32/1000000*$F7*(1+Assumptions!$G$43)</f>
        <v/>
      </c>
      <c r="T7" s="23">
        <f>-O7</f>
        <v/>
      </c>
      <c r="U7" s="23">
        <f>-P7</f>
        <v/>
      </c>
      <c r="V7" s="23">
        <f>(1+Assumptions!$G$11)^0*(1+Assumptions!$G$18)^0*$I7+(1+Assumptions!$G$18)^0*MIN(0.95,Assumptions!$G$20*$B7)*(1-Assumptions!$G$58)*$J7-(1+Assumptions!$G$11)^0*(1+Assumptions!$G$18)^0*MIN(0.95,Assumptions!$G$20*$B7)*$K7-(1+Assumptions!$G$11)^0*($L7+IF(0&lt;3,$M7,0))-Assumptions!$G$12*MAX(0,(1+Assumptions!$G$11)^0*(1+Assumptions!$G$18)^0*$I7+(1+Assumptions!$G$18)^0*MIN(0.95,Assumptions!$G$20*$B7)*(1-Assumptions!$G$58)*$J7-(1+Assumptions!$G$11)^0*(1+Assumptions!$G$18)^0*MIN(0.95,Assumptions!$G$20*$B7)*$K7-(1+Assumptions!$G$11)^0*($L7+IF(0&lt;3,$M7,0))-$N7)-$Q7</f>
        <v/>
      </c>
      <c r="W7" s="23">
        <f>(1+Assumptions!$G$11)^1*(1+Assumptions!$G$18)^1*$I7+(1+Assumptions!$G$18)^1*MIN(0.95,Assumptions!$G$21*$B7)*(1-Assumptions!$G$58)*$J7-(1+Assumptions!$G$11)^1*(1+Assumptions!$G$18)^1*MIN(0.95,Assumptions!$G$21*$B7)*$K7-(1+Assumptions!$G$11)^1*($L7+IF(1&lt;3,$M7,0))-Assumptions!$G$12*MAX(0,(1+Assumptions!$G$11)^1*(1+Assumptions!$G$18)^1*$I7+(1+Assumptions!$G$18)^1*MIN(0.95,Assumptions!$G$21*$B7)*(1-Assumptions!$G$58)*$J7-(1+Assumptions!$G$11)^1*(1+Assumptions!$G$18)^1*MIN(0.95,Assumptions!$G$21*$B7)*$K7-(1+Assumptions!$G$11)^1*($L7+IF(1&lt;3,$M7,0))-$N7)-$R7</f>
        <v/>
      </c>
      <c r="X7" s="23">
        <f>(1+Assumptions!$G$11)^2*(1+Assumptions!$G$18)^2*$I7+(1+Assumptions!$G$18)^2*MIN(0.95,Assumptions!$G$22*$B7)*(1-Assumptions!$G$58)*$J7-(1+Assumptions!$G$11)^2*(1+Assumptions!$G$18)^2*MIN(0.95,Assumptions!$G$22*$B7)*$K7-(1+Assumptions!$G$11)^2*($L7+IF(2&lt;3,$M7,0))-Assumptions!$G$12*MAX(0,(1+Assumptions!$G$11)^2*(1+Assumptions!$G$18)^2*$I7+(1+Assumptions!$G$18)^2*MIN(0.95,Assumptions!$G$22*$B7)*(1-Assumptions!$G$58)*$J7-(1+Assumptions!$G$11)^2*(1+Assumptions!$G$18)^2*MIN(0.95,Assumptions!$G$22*$B7)*$K7-(1+Assumptions!$G$11)^2*($L7+IF(2&lt;3,$M7,0))-$N7)-0</f>
        <v/>
      </c>
      <c r="Y7" s="23">
        <f>(1+Assumptions!$G$11)^3*(1+Assumptions!$G$18)^3*$I7+(1+Assumptions!$G$18)^3*MIN(0.95,Assumptions!$G$23*$B7)*(1-Assumptions!$G$58)*$J7-(1+Assumptions!$G$11)^3*(1+Assumptions!$G$18)^3*MIN(0.95,Assumptions!$G$23*$B7)*$K7-(1+Assumptions!$G$11)^3*($L7+IF(3&lt;3,$M7,0))-Assumptions!$G$12*MAX(0,(1+Assumptions!$G$11)^3*(1+Assumptions!$G$18)^3*$I7+(1+Assumptions!$G$18)^3*MIN(0.95,Assumptions!$G$23*$B7)*(1-Assumptions!$G$58)*$J7-(1+Assumptions!$G$11)^3*(1+Assumptions!$G$18)^3*MIN(0.95,Assumptions!$G$23*$B7)*$K7-(1+Assumptions!$G$11)^3*($L7+IF(3&lt;3,$M7,0))-$N7)-0</f>
        <v/>
      </c>
      <c r="Z7" s="23">
        <f>(1+Assumptions!$G$11)^4*(1+Assumptions!$G$18)^4*$I7+(1+Assumptions!$G$18)^4*MIN(0.95,Assumptions!$G$24*$B7)*(1-Assumptions!$G$58)*$J7-(1+Assumptions!$G$11)^4*(1+Assumptions!$G$18)^4*MIN(0.95,Assumptions!$G$24*$B7)*$K7-(1+Assumptions!$G$11)^4*($L7+IF(4&lt;3,$M7,0))-Assumptions!$G$12*MAX(0,(1+Assumptions!$G$11)^4*(1+Assumptions!$G$18)^4*$I7+(1+Assumptions!$G$18)^4*MIN(0.95,Assumptions!$G$24*$B7)*(1-Assumptions!$G$58)*$J7-(1+Assumptions!$G$11)^4*(1+Assumptions!$G$18)^4*MIN(0.95,Assumptions!$G$24*$B7)*$K7-(1+Assumptions!$G$11)^4*($L7+IF(4&lt;3,$M7,0))-$N7)-0</f>
        <v/>
      </c>
      <c r="AA7" s="23">
        <f>(1+Assumptions!$G$11)^5*(1+Assumptions!$G$18)^5*$I7+(1+Assumptions!$G$18)^5*MIN(0.95,Assumptions!$G$25*$B7)*(1-Assumptions!$G$58)*$J7-(1+Assumptions!$G$11)^5*(1+Assumptions!$G$18)^5*MIN(0.95,Assumptions!$G$25*$B7)*$K7-(1+Assumptions!$G$11)^5*($L7+IF(5&lt;3,$M7,0))-Assumptions!$G$12*MAX(0,(1+Assumptions!$G$11)^5*(1+Assumptions!$G$18)^5*$I7+(1+Assumptions!$G$18)^5*MIN(0.95,Assumptions!$G$25*$B7)*(1-Assumptions!$G$58)*$J7-(1+Assumptions!$G$11)^5*(1+Assumptions!$G$18)^5*MIN(0.95,Assumptions!$G$25*$B7)*$K7-(1+Assumptions!$G$11)^5*($L7+IF(5&lt;3,$M7,0))-$N7)-0</f>
        <v/>
      </c>
      <c r="AB7" s="23">
        <f>(1+Assumptions!$G$11)^6*(1+Assumptions!$G$18)^6*$I7+(1+Assumptions!$G$18)^6*MIN(0.95,Assumptions!$G$26*$B7)*(1-Assumptions!$G$58)*$J7-(1+Assumptions!$G$11)^6*(1+Assumptions!$G$18)^6*MIN(0.95,Assumptions!$G$26*$B7)*$K7-(1+Assumptions!$G$11)^6*($L7+IF(6&lt;3,$M7,0))-Assumptions!$G$12*MAX(0,(1+Assumptions!$G$11)^6*(1+Assumptions!$G$18)^6*$I7+(1+Assumptions!$G$18)^6*MIN(0.95,Assumptions!$G$26*$B7)*(1-Assumptions!$G$58)*$J7-(1+Assumptions!$G$11)^6*(1+Assumptions!$G$18)^6*MIN(0.95,Assumptions!$G$26*$B7)*$K7-(1+Assumptions!$G$11)^6*($L7+IF(6&lt;3,$M7,0))-$N7)-0</f>
        <v/>
      </c>
      <c r="AC7" s="23">
        <f>(1+Assumptions!$G$11)^7*(1+Assumptions!$G$18)^7*$I7+(1+Assumptions!$G$18)^7*MIN(0.95,Assumptions!$G$27*$B7)*(1-Assumptions!$G$58)*$J7-(1+Assumptions!$G$11)^7*(1+Assumptions!$G$18)^7*MIN(0.95,Assumptions!$G$27*$B7)*$K7-(1+Assumptions!$G$11)^7*($L7+IF(7&lt;3,$M7,0))-Assumptions!$G$12*MAX(0,(1+Assumptions!$G$11)^7*(1+Assumptions!$G$18)^7*$I7+(1+Assumptions!$G$18)^7*MIN(0.95,Assumptions!$G$27*$B7)*(1-Assumptions!$G$58)*$J7-(1+Assumptions!$G$11)^7*(1+Assumptions!$G$18)^7*MIN(0.95,Assumptions!$G$27*$B7)*$K7-(1+Assumptions!$G$11)^7*($L7+IF(7&lt;3,$M7,0))-$N7)-0</f>
        <v/>
      </c>
      <c r="AD7" s="23">
        <f>(1+Assumptions!$G$11)^8*(1+Assumptions!$G$18)^8*$I7+(1+Assumptions!$G$18)^8*MIN(0.95,Assumptions!$G$28*$B7)*(1-Assumptions!$G$58)*$J7-(1+Assumptions!$G$11)^8*(1+Assumptions!$G$18)^8*MIN(0.95,Assumptions!$G$28*$B7)*$K7-(1+Assumptions!$G$11)^8*($L7+IF(8&lt;3,$M7,0))-Assumptions!$G$12*MAX(0,(1+Assumptions!$G$11)^8*(1+Assumptions!$G$18)^8*$I7+(1+Assumptions!$G$18)^8*MIN(0.95,Assumptions!$G$28*$B7)*(1-Assumptions!$G$58)*$J7-(1+Assumptions!$G$11)^8*(1+Assumptions!$G$18)^8*MIN(0.95,Assumptions!$G$28*$B7)*$K7-(1+Assumptions!$G$11)^8*($L7+IF(8&lt;3,$M7,0))-$N7)-0</f>
        <v/>
      </c>
      <c r="AE7" s="23">
        <f>(1+Assumptions!$G$11)^9*(1+Assumptions!$G$18)^9*$I7+(1+Assumptions!$G$18)^9*MIN(0.95,Assumptions!$G$29*$B7)*(1-Assumptions!$G$58)*$J7-(1+Assumptions!$G$11)^9*(1+Assumptions!$G$18)^9*MIN(0.95,Assumptions!$G$29*$B7)*$K7-(1+Assumptions!$G$11)^9*($L7+IF(9&lt;3,$M7,0))-Assumptions!$G$12*MAX(0,(1+Assumptions!$G$11)^9*(1+Assumptions!$G$18)^9*$I7+(1+Assumptions!$G$18)^9*MIN(0.95,Assumptions!$G$29*$B7)*(1-Assumptions!$G$58)*$J7-(1+Assumptions!$G$11)^9*(1+Assumptions!$G$18)^9*MIN(0.95,Assumptions!$G$29*$B7)*$K7-(1+Assumptions!$G$11)^9*($L7+IF(9&lt;3,$M7,0))-$N7)-0</f>
        <v/>
      </c>
      <c r="AG7" s="19">
        <f>IFERROR(IRR(T7:AE7),"n.m.")</f>
        <v/>
      </c>
      <c r="AH7" s="33">
        <f>IFERROR((AG7-AG$6)*100,"n.m.")</f>
        <v/>
      </c>
    </row>
    <row r="8">
      <c r="A8" s="9" t="inlineStr">
        <is>
          <t>Return rate +5pts</t>
        </is>
      </c>
      <c r="B8" s="32" t="n">
        <v>1.0556</v>
      </c>
      <c r="C8" s="32" t="n">
        <v>1</v>
      </c>
      <c r="D8" s="32" t="n">
        <v>1</v>
      </c>
      <c r="E8" s="32" t="n">
        <v>1</v>
      </c>
      <c r="F8" s="32" t="n">
        <v>1</v>
      </c>
      <c r="G8" s="32" t="n">
        <v>1</v>
      </c>
      <c r="I8" s="23">
        <f>$C8*(Assumptions!$G$15*Assumptions!$G$60+Assumptions!$G$16*Assumptions!$G$61+Assumptions!$G$17*Assumptions!$G$62)*1000</f>
        <v/>
      </c>
      <c r="J8" s="23">
        <f>(Assumptions!$G$15*Assumptions!$G$67*Assumptions!$G$64*Assumptions!$G$7*$D8+Assumptions!$G$16*Assumptions!$G$68*Assumptions!$G$65*Assumptions!$G$7*$E8+Assumptions!$G$17*Assumptions!$G$69*Assumptions!$G$66)/1000</f>
        <v/>
      </c>
      <c r="K8" s="23">
        <f>(Assumptions!$G$15+Assumptions!$G$16+Assumptions!$G$17)*(Assumptions!$G$48+Assumptions!$G$49+Assumptions!$G$50+Assumptions!$G$51)*$G8*1000</f>
        <v/>
      </c>
      <c r="L8" s="23">
        <f>Assumptions!$G$53+Assumptions!$G$54+Assumptions!$G$56+Assumptions!$G$57+Assumptions!$G$31*Assumptions!$G$52/1000000</f>
        <v/>
      </c>
      <c r="M8" s="23">
        <f>Assumptions!$G$55-Assumptions!$G$56</f>
        <v/>
      </c>
      <c r="N8" s="25">
        <f>Assumptions!$G$31*Assumptions!$G$32/1000000*$F8*(1+Assumptions!$G$43)/Assumptions!$G$33+3*Assumptions!$G$35*(1+Assumptions!$G$43)/Assumptions!$G$36+Assumptions!$G$37*(1+Assumptions!$G$43)/Assumptions!$G$38+Assumptions!$G$39*(1+Assumptions!$G$43)/Assumptions!$G$40+Assumptions!$G$41/Assumptions!$G$42</f>
        <v/>
      </c>
      <c r="O8" s="25">
        <f>0.5*Assumptions!$G$37+0.55*Assumptions!$G$41+Assumptions!$G$43*0.5*Assumptions!$G$37</f>
        <v/>
      </c>
      <c r="P8" s="25">
        <f>0.34*Assumptions!$G$31*Assumptions!$G$32/1000000*$F8+Assumptions!$G$35+0.5*Assumptions!$G$37+0.6*Assumptions!$G$39+0.45*Assumptions!$G$41+Assumptions!$G$43*(0.34*Assumptions!$G$31*Assumptions!$G$32/1000000*$F8+Assumptions!$G$35+0.5*Assumptions!$G$37+0.6*Assumptions!$G$39)</f>
        <v/>
      </c>
      <c r="Q8" s="25">
        <f>0.43*Assumptions!$G$31*Assumptions!$G$32/1000000*$F8+2*Assumptions!$G$35+0.4*Assumptions!$G$39+Assumptions!$G$43*(0.43*Assumptions!$G$31*Assumptions!$G$32/1000000*$F8+2*Assumptions!$G$35+0.4*Assumptions!$G$39)</f>
        <v/>
      </c>
      <c r="R8" s="25">
        <f>0.23*Assumptions!$G$31*Assumptions!$G$32/1000000*$F8*(1+Assumptions!$G$43)</f>
        <v/>
      </c>
      <c r="T8" s="23">
        <f>-O8</f>
        <v/>
      </c>
      <c r="U8" s="23">
        <f>-P8</f>
        <v/>
      </c>
      <c r="V8" s="23">
        <f>(1+Assumptions!$G$11)^0*(1+Assumptions!$G$18)^0*$I8+(1+Assumptions!$G$18)^0*MIN(0.95,Assumptions!$G$20*$B8)*(1-Assumptions!$G$58)*$J8-(1+Assumptions!$G$11)^0*(1+Assumptions!$G$18)^0*MIN(0.95,Assumptions!$G$20*$B8)*$K8-(1+Assumptions!$G$11)^0*($L8+IF(0&lt;3,$M8,0))-Assumptions!$G$12*MAX(0,(1+Assumptions!$G$11)^0*(1+Assumptions!$G$18)^0*$I8+(1+Assumptions!$G$18)^0*MIN(0.95,Assumptions!$G$20*$B8)*(1-Assumptions!$G$58)*$J8-(1+Assumptions!$G$11)^0*(1+Assumptions!$G$18)^0*MIN(0.95,Assumptions!$G$20*$B8)*$K8-(1+Assumptions!$G$11)^0*($L8+IF(0&lt;3,$M8,0))-$N8)-$Q8</f>
        <v/>
      </c>
      <c r="W8" s="23">
        <f>(1+Assumptions!$G$11)^1*(1+Assumptions!$G$18)^1*$I8+(1+Assumptions!$G$18)^1*MIN(0.95,Assumptions!$G$21*$B8)*(1-Assumptions!$G$58)*$J8-(1+Assumptions!$G$11)^1*(1+Assumptions!$G$18)^1*MIN(0.95,Assumptions!$G$21*$B8)*$K8-(1+Assumptions!$G$11)^1*($L8+IF(1&lt;3,$M8,0))-Assumptions!$G$12*MAX(0,(1+Assumptions!$G$11)^1*(1+Assumptions!$G$18)^1*$I8+(1+Assumptions!$G$18)^1*MIN(0.95,Assumptions!$G$21*$B8)*(1-Assumptions!$G$58)*$J8-(1+Assumptions!$G$11)^1*(1+Assumptions!$G$18)^1*MIN(0.95,Assumptions!$G$21*$B8)*$K8-(1+Assumptions!$G$11)^1*($L8+IF(1&lt;3,$M8,0))-$N8)-$R8</f>
        <v/>
      </c>
      <c r="X8" s="23">
        <f>(1+Assumptions!$G$11)^2*(1+Assumptions!$G$18)^2*$I8+(1+Assumptions!$G$18)^2*MIN(0.95,Assumptions!$G$22*$B8)*(1-Assumptions!$G$58)*$J8-(1+Assumptions!$G$11)^2*(1+Assumptions!$G$18)^2*MIN(0.95,Assumptions!$G$22*$B8)*$K8-(1+Assumptions!$G$11)^2*($L8+IF(2&lt;3,$M8,0))-Assumptions!$G$12*MAX(0,(1+Assumptions!$G$11)^2*(1+Assumptions!$G$18)^2*$I8+(1+Assumptions!$G$18)^2*MIN(0.95,Assumptions!$G$22*$B8)*(1-Assumptions!$G$58)*$J8-(1+Assumptions!$G$11)^2*(1+Assumptions!$G$18)^2*MIN(0.95,Assumptions!$G$22*$B8)*$K8-(1+Assumptions!$G$11)^2*($L8+IF(2&lt;3,$M8,0))-$N8)-0</f>
        <v/>
      </c>
      <c r="Y8" s="23">
        <f>(1+Assumptions!$G$11)^3*(1+Assumptions!$G$18)^3*$I8+(1+Assumptions!$G$18)^3*MIN(0.95,Assumptions!$G$23*$B8)*(1-Assumptions!$G$58)*$J8-(1+Assumptions!$G$11)^3*(1+Assumptions!$G$18)^3*MIN(0.95,Assumptions!$G$23*$B8)*$K8-(1+Assumptions!$G$11)^3*($L8+IF(3&lt;3,$M8,0))-Assumptions!$G$12*MAX(0,(1+Assumptions!$G$11)^3*(1+Assumptions!$G$18)^3*$I8+(1+Assumptions!$G$18)^3*MIN(0.95,Assumptions!$G$23*$B8)*(1-Assumptions!$G$58)*$J8-(1+Assumptions!$G$11)^3*(1+Assumptions!$G$18)^3*MIN(0.95,Assumptions!$G$23*$B8)*$K8-(1+Assumptions!$G$11)^3*($L8+IF(3&lt;3,$M8,0))-$N8)-0</f>
        <v/>
      </c>
      <c r="Z8" s="23">
        <f>(1+Assumptions!$G$11)^4*(1+Assumptions!$G$18)^4*$I8+(1+Assumptions!$G$18)^4*MIN(0.95,Assumptions!$G$24*$B8)*(1-Assumptions!$G$58)*$J8-(1+Assumptions!$G$11)^4*(1+Assumptions!$G$18)^4*MIN(0.95,Assumptions!$G$24*$B8)*$K8-(1+Assumptions!$G$11)^4*($L8+IF(4&lt;3,$M8,0))-Assumptions!$G$12*MAX(0,(1+Assumptions!$G$11)^4*(1+Assumptions!$G$18)^4*$I8+(1+Assumptions!$G$18)^4*MIN(0.95,Assumptions!$G$24*$B8)*(1-Assumptions!$G$58)*$J8-(1+Assumptions!$G$11)^4*(1+Assumptions!$G$18)^4*MIN(0.95,Assumptions!$G$24*$B8)*$K8-(1+Assumptions!$G$11)^4*($L8+IF(4&lt;3,$M8,0))-$N8)-0</f>
        <v/>
      </c>
      <c r="AA8" s="23">
        <f>(1+Assumptions!$G$11)^5*(1+Assumptions!$G$18)^5*$I8+(1+Assumptions!$G$18)^5*MIN(0.95,Assumptions!$G$25*$B8)*(1-Assumptions!$G$58)*$J8-(1+Assumptions!$G$11)^5*(1+Assumptions!$G$18)^5*MIN(0.95,Assumptions!$G$25*$B8)*$K8-(1+Assumptions!$G$11)^5*($L8+IF(5&lt;3,$M8,0))-Assumptions!$G$12*MAX(0,(1+Assumptions!$G$11)^5*(1+Assumptions!$G$18)^5*$I8+(1+Assumptions!$G$18)^5*MIN(0.95,Assumptions!$G$25*$B8)*(1-Assumptions!$G$58)*$J8-(1+Assumptions!$G$11)^5*(1+Assumptions!$G$18)^5*MIN(0.95,Assumptions!$G$25*$B8)*$K8-(1+Assumptions!$G$11)^5*($L8+IF(5&lt;3,$M8,0))-$N8)-0</f>
        <v/>
      </c>
      <c r="AB8" s="23">
        <f>(1+Assumptions!$G$11)^6*(1+Assumptions!$G$18)^6*$I8+(1+Assumptions!$G$18)^6*MIN(0.95,Assumptions!$G$26*$B8)*(1-Assumptions!$G$58)*$J8-(1+Assumptions!$G$11)^6*(1+Assumptions!$G$18)^6*MIN(0.95,Assumptions!$G$26*$B8)*$K8-(1+Assumptions!$G$11)^6*($L8+IF(6&lt;3,$M8,0))-Assumptions!$G$12*MAX(0,(1+Assumptions!$G$11)^6*(1+Assumptions!$G$18)^6*$I8+(1+Assumptions!$G$18)^6*MIN(0.95,Assumptions!$G$26*$B8)*(1-Assumptions!$G$58)*$J8-(1+Assumptions!$G$11)^6*(1+Assumptions!$G$18)^6*MIN(0.95,Assumptions!$G$26*$B8)*$K8-(1+Assumptions!$G$11)^6*($L8+IF(6&lt;3,$M8,0))-$N8)-0</f>
        <v/>
      </c>
      <c r="AC8" s="23">
        <f>(1+Assumptions!$G$11)^7*(1+Assumptions!$G$18)^7*$I8+(1+Assumptions!$G$18)^7*MIN(0.95,Assumptions!$G$27*$B8)*(1-Assumptions!$G$58)*$J8-(1+Assumptions!$G$11)^7*(1+Assumptions!$G$18)^7*MIN(0.95,Assumptions!$G$27*$B8)*$K8-(1+Assumptions!$G$11)^7*($L8+IF(7&lt;3,$M8,0))-Assumptions!$G$12*MAX(0,(1+Assumptions!$G$11)^7*(1+Assumptions!$G$18)^7*$I8+(1+Assumptions!$G$18)^7*MIN(0.95,Assumptions!$G$27*$B8)*(1-Assumptions!$G$58)*$J8-(1+Assumptions!$G$11)^7*(1+Assumptions!$G$18)^7*MIN(0.95,Assumptions!$G$27*$B8)*$K8-(1+Assumptions!$G$11)^7*($L8+IF(7&lt;3,$M8,0))-$N8)-0</f>
        <v/>
      </c>
      <c r="AD8" s="23">
        <f>(1+Assumptions!$G$11)^8*(1+Assumptions!$G$18)^8*$I8+(1+Assumptions!$G$18)^8*MIN(0.95,Assumptions!$G$28*$B8)*(1-Assumptions!$G$58)*$J8-(1+Assumptions!$G$11)^8*(1+Assumptions!$G$18)^8*MIN(0.95,Assumptions!$G$28*$B8)*$K8-(1+Assumptions!$G$11)^8*($L8+IF(8&lt;3,$M8,0))-Assumptions!$G$12*MAX(0,(1+Assumptions!$G$11)^8*(1+Assumptions!$G$18)^8*$I8+(1+Assumptions!$G$18)^8*MIN(0.95,Assumptions!$G$28*$B8)*(1-Assumptions!$G$58)*$J8-(1+Assumptions!$G$11)^8*(1+Assumptions!$G$18)^8*MIN(0.95,Assumptions!$G$28*$B8)*$K8-(1+Assumptions!$G$11)^8*($L8+IF(8&lt;3,$M8,0))-$N8)-0</f>
        <v/>
      </c>
      <c r="AE8" s="23">
        <f>(1+Assumptions!$G$11)^9*(1+Assumptions!$G$18)^9*$I8+(1+Assumptions!$G$18)^9*MIN(0.95,Assumptions!$G$29*$B8)*(1-Assumptions!$G$58)*$J8-(1+Assumptions!$G$11)^9*(1+Assumptions!$G$18)^9*MIN(0.95,Assumptions!$G$29*$B8)*$K8-(1+Assumptions!$G$11)^9*($L8+IF(9&lt;3,$M8,0))-Assumptions!$G$12*MAX(0,(1+Assumptions!$G$11)^9*(1+Assumptions!$G$18)^9*$I8+(1+Assumptions!$G$18)^9*MIN(0.95,Assumptions!$G$29*$B8)*(1-Assumptions!$G$58)*$J8-(1+Assumptions!$G$11)^9*(1+Assumptions!$G$18)^9*MIN(0.95,Assumptions!$G$29*$B8)*$K8-(1+Assumptions!$G$11)^9*($L8+IF(9&lt;3,$M8,0))-$N8)-0</f>
        <v/>
      </c>
      <c r="AG8" s="19">
        <f>IFERROR(IRR(T8:AE8),"n.m.")</f>
        <v/>
      </c>
      <c r="AH8" s="33">
        <f>IFERROR((AG8-AG$6)*100,"n.m.")</f>
        <v/>
      </c>
    </row>
    <row r="9">
      <c r="A9" s="9" t="inlineStr">
        <is>
          <t>Producer fees −10%</t>
        </is>
      </c>
      <c r="B9" s="32" t="n">
        <v>1</v>
      </c>
      <c r="C9" s="32" t="n">
        <v>0.9</v>
      </c>
      <c r="D9" s="32" t="n">
        <v>1</v>
      </c>
      <c r="E9" s="32" t="n">
        <v>1</v>
      </c>
      <c r="F9" s="32" t="n">
        <v>1</v>
      </c>
      <c r="G9" s="32" t="n">
        <v>1</v>
      </c>
      <c r="I9" s="23">
        <f>$C9*(Assumptions!$G$15*Assumptions!$G$60+Assumptions!$G$16*Assumptions!$G$61+Assumptions!$G$17*Assumptions!$G$62)*1000</f>
        <v/>
      </c>
      <c r="J9" s="23">
        <f>(Assumptions!$G$15*Assumptions!$G$67*Assumptions!$G$64*Assumptions!$G$7*$D9+Assumptions!$G$16*Assumptions!$G$68*Assumptions!$G$65*Assumptions!$G$7*$E9+Assumptions!$G$17*Assumptions!$G$69*Assumptions!$G$66)/1000</f>
        <v/>
      </c>
      <c r="K9" s="23">
        <f>(Assumptions!$G$15+Assumptions!$G$16+Assumptions!$G$17)*(Assumptions!$G$48+Assumptions!$G$49+Assumptions!$G$50+Assumptions!$G$51)*$G9*1000</f>
        <v/>
      </c>
      <c r="L9" s="23">
        <f>Assumptions!$G$53+Assumptions!$G$54+Assumptions!$G$56+Assumptions!$G$57+Assumptions!$G$31*Assumptions!$G$52/1000000</f>
        <v/>
      </c>
      <c r="M9" s="23">
        <f>Assumptions!$G$55-Assumptions!$G$56</f>
        <v/>
      </c>
      <c r="N9" s="25">
        <f>Assumptions!$G$31*Assumptions!$G$32/1000000*$F9*(1+Assumptions!$G$43)/Assumptions!$G$33+3*Assumptions!$G$35*(1+Assumptions!$G$43)/Assumptions!$G$36+Assumptions!$G$37*(1+Assumptions!$G$43)/Assumptions!$G$38+Assumptions!$G$39*(1+Assumptions!$G$43)/Assumptions!$G$40+Assumptions!$G$41/Assumptions!$G$42</f>
        <v/>
      </c>
      <c r="O9" s="25">
        <f>0.5*Assumptions!$G$37+0.55*Assumptions!$G$41+Assumptions!$G$43*0.5*Assumptions!$G$37</f>
        <v/>
      </c>
      <c r="P9" s="25">
        <f>0.34*Assumptions!$G$31*Assumptions!$G$32/1000000*$F9+Assumptions!$G$35+0.5*Assumptions!$G$37+0.6*Assumptions!$G$39+0.45*Assumptions!$G$41+Assumptions!$G$43*(0.34*Assumptions!$G$31*Assumptions!$G$32/1000000*$F9+Assumptions!$G$35+0.5*Assumptions!$G$37+0.6*Assumptions!$G$39)</f>
        <v/>
      </c>
      <c r="Q9" s="25">
        <f>0.43*Assumptions!$G$31*Assumptions!$G$32/1000000*$F9+2*Assumptions!$G$35+0.4*Assumptions!$G$39+Assumptions!$G$43*(0.43*Assumptions!$G$31*Assumptions!$G$32/1000000*$F9+2*Assumptions!$G$35+0.4*Assumptions!$G$39)</f>
        <v/>
      </c>
      <c r="R9" s="25">
        <f>0.23*Assumptions!$G$31*Assumptions!$G$32/1000000*$F9*(1+Assumptions!$G$43)</f>
        <v/>
      </c>
      <c r="T9" s="23">
        <f>-O9</f>
        <v/>
      </c>
      <c r="U9" s="23">
        <f>-P9</f>
        <v/>
      </c>
      <c r="V9" s="23">
        <f>(1+Assumptions!$G$11)^0*(1+Assumptions!$G$18)^0*$I9+(1+Assumptions!$G$18)^0*MIN(0.95,Assumptions!$G$20*$B9)*(1-Assumptions!$G$58)*$J9-(1+Assumptions!$G$11)^0*(1+Assumptions!$G$18)^0*MIN(0.95,Assumptions!$G$20*$B9)*$K9-(1+Assumptions!$G$11)^0*($L9+IF(0&lt;3,$M9,0))-Assumptions!$G$12*MAX(0,(1+Assumptions!$G$11)^0*(1+Assumptions!$G$18)^0*$I9+(1+Assumptions!$G$18)^0*MIN(0.95,Assumptions!$G$20*$B9)*(1-Assumptions!$G$58)*$J9-(1+Assumptions!$G$11)^0*(1+Assumptions!$G$18)^0*MIN(0.95,Assumptions!$G$20*$B9)*$K9-(1+Assumptions!$G$11)^0*($L9+IF(0&lt;3,$M9,0))-$N9)-$Q9</f>
        <v/>
      </c>
      <c r="W9" s="23">
        <f>(1+Assumptions!$G$11)^1*(1+Assumptions!$G$18)^1*$I9+(1+Assumptions!$G$18)^1*MIN(0.95,Assumptions!$G$21*$B9)*(1-Assumptions!$G$58)*$J9-(1+Assumptions!$G$11)^1*(1+Assumptions!$G$18)^1*MIN(0.95,Assumptions!$G$21*$B9)*$K9-(1+Assumptions!$G$11)^1*($L9+IF(1&lt;3,$M9,0))-Assumptions!$G$12*MAX(0,(1+Assumptions!$G$11)^1*(1+Assumptions!$G$18)^1*$I9+(1+Assumptions!$G$18)^1*MIN(0.95,Assumptions!$G$21*$B9)*(1-Assumptions!$G$58)*$J9-(1+Assumptions!$G$11)^1*(1+Assumptions!$G$18)^1*MIN(0.95,Assumptions!$G$21*$B9)*$K9-(1+Assumptions!$G$11)^1*($L9+IF(1&lt;3,$M9,0))-$N9)-$R9</f>
        <v/>
      </c>
      <c r="X9" s="23">
        <f>(1+Assumptions!$G$11)^2*(1+Assumptions!$G$18)^2*$I9+(1+Assumptions!$G$18)^2*MIN(0.95,Assumptions!$G$22*$B9)*(1-Assumptions!$G$58)*$J9-(1+Assumptions!$G$11)^2*(1+Assumptions!$G$18)^2*MIN(0.95,Assumptions!$G$22*$B9)*$K9-(1+Assumptions!$G$11)^2*($L9+IF(2&lt;3,$M9,0))-Assumptions!$G$12*MAX(0,(1+Assumptions!$G$11)^2*(1+Assumptions!$G$18)^2*$I9+(1+Assumptions!$G$18)^2*MIN(0.95,Assumptions!$G$22*$B9)*(1-Assumptions!$G$58)*$J9-(1+Assumptions!$G$11)^2*(1+Assumptions!$G$18)^2*MIN(0.95,Assumptions!$G$22*$B9)*$K9-(1+Assumptions!$G$11)^2*($L9+IF(2&lt;3,$M9,0))-$N9)-0</f>
        <v/>
      </c>
      <c r="Y9" s="23">
        <f>(1+Assumptions!$G$11)^3*(1+Assumptions!$G$18)^3*$I9+(1+Assumptions!$G$18)^3*MIN(0.95,Assumptions!$G$23*$B9)*(1-Assumptions!$G$58)*$J9-(1+Assumptions!$G$11)^3*(1+Assumptions!$G$18)^3*MIN(0.95,Assumptions!$G$23*$B9)*$K9-(1+Assumptions!$G$11)^3*($L9+IF(3&lt;3,$M9,0))-Assumptions!$G$12*MAX(0,(1+Assumptions!$G$11)^3*(1+Assumptions!$G$18)^3*$I9+(1+Assumptions!$G$18)^3*MIN(0.95,Assumptions!$G$23*$B9)*(1-Assumptions!$G$58)*$J9-(1+Assumptions!$G$11)^3*(1+Assumptions!$G$18)^3*MIN(0.95,Assumptions!$G$23*$B9)*$K9-(1+Assumptions!$G$11)^3*($L9+IF(3&lt;3,$M9,0))-$N9)-0</f>
        <v/>
      </c>
      <c r="Z9" s="23">
        <f>(1+Assumptions!$G$11)^4*(1+Assumptions!$G$18)^4*$I9+(1+Assumptions!$G$18)^4*MIN(0.95,Assumptions!$G$24*$B9)*(1-Assumptions!$G$58)*$J9-(1+Assumptions!$G$11)^4*(1+Assumptions!$G$18)^4*MIN(0.95,Assumptions!$G$24*$B9)*$K9-(1+Assumptions!$G$11)^4*($L9+IF(4&lt;3,$M9,0))-Assumptions!$G$12*MAX(0,(1+Assumptions!$G$11)^4*(1+Assumptions!$G$18)^4*$I9+(1+Assumptions!$G$18)^4*MIN(0.95,Assumptions!$G$24*$B9)*(1-Assumptions!$G$58)*$J9-(1+Assumptions!$G$11)^4*(1+Assumptions!$G$18)^4*MIN(0.95,Assumptions!$G$24*$B9)*$K9-(1+Assumptions!$G$11)^4*($L9+IF(4&lt;3,$M9,0))-$N9)-0</f>
        <v/>
      </c>
      <c r="AA9" s="23">
        <f>(1+Assumptions!$G$11)^5*(1+Assumptions!$G$18)^5*$I9+(1+Assumptions!$G$18)^5*MIN(0.95,Assumptions!$G$25*$B9)*(1-Assumptions!$G$58)*$J9-(1+Assumptions!$G$11)^5*(1+Assumptions!$G$18)^5*MIN(0.95,Assumptions!$G$25*$B9)*$K9-(1+Assumptions!$G$11)^5*($L9+IF(5&lt;3,$M9,0))-Assumptions!$G$12*MAX(0,(1+Assumptions!$G$11)^5*(1+Assumptions!$G$18)^5*$I9+(1+Assumptions!$G$18)^5*MIN(0.95,Assumptions!$G$25*$B9)*(1-Assumptions!$G$58)*$J9-(1+Assumptions!$G$11)^5*(1+Assumptions!$G$18)^5*MIN(0.95,Assumptions!$G$25*$B9)*$K9-(1+Assumptions!$G$11)^5*($L9+IF(5&lt;3,$M9,0))-$N9)-0</f>
        <v/>
      </c>
      <c r="AB9" s="23">
        <f>(1+Assumptions!$G$11)^6*(1+Assumptions!$G$18)^6*$I9+(1+Assumptions!$G$18)^6*MIN(0.95,Assumptions!$G$26*$B9)*(1-Assumptions!$G$58)*$J9-(1+Assumptions!$G$11)^6*(1+Assumptions!$G$18)^6*MIN(0.95,Assumptions!$G$26*$B9)*$K9-(1+Assumptions!$G$11)^6*($L9+IF(6&lt;3,$M9,0))-Assumptions!$G$12*MAX(0,(1+Assumptions!$G$11)^6*(1+Assumptions!$G$18)^6*$I9+(1+Assumptions!$G$18)^6*MIN(0.95,Assumptions!$G$26*$B9)*(1-Assumptions!$G$58)*$J9-(1+Assumptions!$G$11)^6*(1+Assumptions!$G$18)^6*MIN(0.95,Assumptions!$G$26*$B9)*$K9-(1+Assumptions!$G$11)^6*($L9+IF(6&lt;3,$M9,0))-$N9)-0</f>
        <v/>
      </c>
      <c r="AC9" s="23">
        <f>(1+Assumptions!$G$11)^7*(1+Assumptions!$G$18)^7*$I9+(1+Assumptions!$G$18)^7*MIN(0.95,Assumptions!$G$27*$B9)*(1-Assumptions!$G$58)*$J9-(1+Assumptions!$G$11)^7*(1+Assumptions!$G$18)^7*MIN(0.95,Assumptions!$G$27*$B9)*$K9-(1+Assumptions!$G$11)^7*($L9+IF(7&lt;3,$M9,0))-Assumptions!$G$12*MAX(0,(1+Assumptions!$G$11)^7*(1+Assumptions!$G$18)^7*$I9+(1+Assumptions!$G$18)^7*MIN(0.95,Assumptions!$G$27*$B9)*(1-Assumptions!$G$58)*$J9-(1+Assumptions!$G$11)^7*(1+Assumptions!$G$18)^7*MIN(0.95,Assumptions!$G$27*$B9)*$K9-(1+Assumptions!$G$11)^7*($L9+IF(7&lt;3,$M9,0))-$N9)-0</f>
        <v/>
      </c>
      <c r="AD9" s="23">
        <f>(1+Assumptions!$G$11)^8*(1+Assumptions!$G$18)^8*$I9+(1+Assumptions!$G$18)^8*MIN(0.95,Assumptions!$G$28*$B9)*(1-Assumptions!$G$58)*$J9-(1+Assumptions!$G$11)^8*(1+Assumptions!$G$18)^8*MIN(0.95,Assumptions!$G$28*$B9)*$K9-(1+Assumptions!$G$11)^8*($L9+IF(8&lt;3,$M9,0))-Assumptions!$G$12*MAX(0,(1+Assumptions!$G$11)^8*(1+Assumptions!$G$18)^8*$I9+(1+Assumptions!$G$18)^8*MIN(0.95,Assumptions!$G$28*$B9)*(1-Assumptions!$G$58)*$J9-(1+Assumptions!$G$11)^8*(1+Assumptions!$G$18)^8*MIN(0.95,Assumptions!$G$28*$B9)*$K9-(1+Assumptions!$G$11)^8*($L9+IF(8&lt;3,$M9,0))-$N9)-0</f>
        <v/>
      </c>
      <c r="AE9" s="23">
        <f>(1+Assumptions!$G$11)^9*(1+Assumptions!$G$18)^9*$I9+(1+Assumptions!$G$18)^9*MIN(0.95,Assumptions!$G$29*$B9)*(1-Assumptions!$G$58)*$J9-(1+Assumptions!$G$11)^9*(1+Assumptions!$G$18)^9*MIN(0.95,Assumptions!$G$29*$B9)*$K9-(1+Assumptions!$G$11)^9*($L9+IF(9&lt;3,$M9,0))-Assumptions!$G$12*MAX(0,(1+Assumptions!$G$11)^9*(1+Assumptions!$G$18)^9*$I9+(1+Assumptions!$G$18)^9*MIN(0.95,Assumptions!$G$29*$B9)*(1-Assumptions!$G$58)*$J9-(1+Assumptions!$G$11)^9*(1+Assumptions!$G$18)^9*MIN(0.95,Assumptions!$G$29*$B9)*$K9-(1+Assumptions!$G$11)^9*($L9+IF(9&lt;3,$M9,0))-$N9)-0</f>
        <v/>
      </c>
      <c r="AG9" s="19">
        <f>IFERROR(IRR(T9:AE9),"n.m.")</f>
        <v/>
      </c>
      <c r="AH9" s="33">
        <f>IFERROR((AG9-AG$6)*100,"n.m.")</f>
        <v/>
      </c>
    </row>
    <row r="10">
      <c r="A10" s="9" t="inlineStr">
        <is>
          <t>Producer fees +10%</t>
        </is>
      </c>
      <c r="B10" s="32" t="n">
        <v>1</v>
      </c>
      <c r="C10" s="32" t="n">
        <v>1.1</v>
      </c>
      <c r="D10" s="32" t="n">
        <v>1</v>
      </c>
      <c r="E10" s="32" t="n">
        <v>1</v>
      </c>
      <c r="F10" s="32" t="n">
        <v>1</v>
      </c>
      <c r="G10" s="32" t="n">
        <v>1</v>
      </c>
      <c r="I10" s="23">
        <f>$C10*(Assumptions!$G$15*Assumptions!$G$60+Assumptions!$G$16*Assumptions!$G$61+Assumptions!$G$17*Assumptions!$G$62)*1000</f>
        <v/>
      </c>
      <c r="J10" s="23">
        <f>(Assumptions!$G$15*Assumptions!$G$67*Assumptions!$G$64*Assumptions!$G$7*$D10+Assumptions!$G$16*Assumptions!$G$68*Assumptions!$G$65*Assumptions!$G$7*$E10+Assumptions!$G$17*Assumptions!$G$69*Assumptions!$G$66)/1000</f>
        <v/>
      </c>
      <c r="K10" s="23">
        <f>(Assumptions!$G$15+Assumptions!$G$16+Assumptions!$G$17)*(Assumptions!$G$48+Assumptions!$G$49+Assumptions!$G$50+Assumptions!$G$51)*$G10*1000</f>
        <v/>
      </c>
      <c r="L10" s="23">
        <f>Assumptions!$G$53+Assumptions!$G$54+Assumptions!$G$56+Assumptions!$G$57+Assumptions!$G$31*Assumptions!$G$52/1000000</f>
        <v/>
      </c>
      <c r="M10" s="23">
        <f>Assumptions!$G$55-Assumptions!$G$56</f>
        <v/>
      </c>
      <c r="N10" s="25">
        <f>Assumptions!$G$31*Assumptions!$G$32/1000000*$F10*(1+Assumptions!$G$43)/Assumptions!$G$33+3*Assumptions!$G$35*(1+Assumptions!$G$43)/Assumptions!$G$36+Assumptions!$G$37*(1+Assumptions!$G$43)/Assumptions!$G$38+Assumptions!$G$39*(1+Assumptions!$G$43)/Assumptions!$G$40+Assumptions!$G$41/Assumptions!$G$42</f>
        <v/>
      </c>
      <c r="O10" s="25">
        <f>0.5*Assumptions!$G$37+0.55*Assumptions!$G$41+Assumptions!$G$43*0.5*Assumptions!$G$37</f>
        <v/>
      </c>
      <c r="P10" s="25">
        <f>0.34*Assumptions!$G$31*Assumptions!$G$32/1000000*$F10+Assumptions!$G$35+0.5*Assumptions!$G$37+0.6*Assumptions!$G$39+0.45*Assumptions!$G$41+Assumptions!$G$43*(0.34*Assumptions!$G$31*Assumptions!$G$32/1000000*$F10+Assumptions!$G$35+0.5*Assumptions!$G$37+0.6*Assumptions!$G$39)</f>
        <v/>
      </c>
      <c r="Q10" s="25">
        <f>0.43*Assumptions!$G$31*Assumptions!$G$32/1000000*$F10+2*Assumptions!$G$35+0.4*Assumptions!$G$39+Assumptions!$G$43*(0.43*Assumptions!$G$31*Assumptions!$G$32/1000000*$F10+2*Assumptions!$G$35+0.4*Assumptions!$G$39)</f>
        <v/>
      </c>
      <c r="R10" s="25">
        <f>0.23*Assumptions!$G$31*Assumptions!$G$32/1000000*$F10*(1+Assumptions!$G$43)</f>
        <v/>
      </c>
      <c r="T10" s="23">
        <f>-O10</f>
        <v/>
      </c>
      <c r="U10" s="23">
        <f>-P10</f>
        <v/>
      </c>
      <c r="V10" s="23">
        <f>(1+Assumptions!$G$11)^0*(1+Assumptions!$G$18)^0*$I10+(1+Assumptions!$G$18)^0*MIN(0.95,Assumptions!$G$20*$B10)*(1-Assumptions!$G$58)*$J10-(1+Assumptions!$G$11)^0*(1+Assumptions!$G$18)^0*MIN(0.95,Assumptions!$G$20*$B10)*$K10-(1+Assumptions!$G$11)^0*($L10+IF(0&lt;3,$M10,0))-Assumptions!$G$12*MAX(0,(1+Assumptions!$G$11)^0*(1+Assumptions!$G$18)^0*$I10+(1+Assumptions!$G$18)^0*MIN(0.95,Assumptions!$G$20*$B10)*(1-Assumptions!$G$58)*$J10-(1+Assumptions!$G$11)^0*(1+Assumptions!$G$18)^0*MIN(0.95,Assumptions!$G$20*$B10)*$K10-(1+Assumptions!$G$11)^0*($L10+IF(0&lt;3,$M10,0))-$N10)-$Q10</f>
        <v/>
      </c>
      <c r="W10" s="23">
        <f>(1+Assumptions!$G$11)^1*(1+Assumptions!$G$18)^1*$I10+(1+Assumptions!$G$18)^1*MIN(0.95,Assumptions!$G$21*$B10)*(1-Assumptions!$G$58)*$J10-(1+Assumptions!$G$11)^1*(1+Assumptions!$G$18)^1*MIN(0.95,Assumptions!$G$21*$B10)*$K10-(1+Assumptions!$G$11)^1*($L10+IF(1&lt;3,$M10,0))-Assumptions!$G$12*MAX(0,(1+Assumptions!$G$11)^1*(1+Assumptions!$G$18)^1*$I10+(1+Assumptions!$G$18)^1*MIN(0.95,Assumptions!$G$21*$B10)*(1-Assumptions!$G$58)*$J10-(1+Assumptions!$G$11)^1*(1+Assumptions!$G$18)^1*MIN(0.95,Assumptions!$G$21*$B10)*$K10-(1+Assumptions!$G$11)^1*($L10+IF(1&lt;3,$M10,0))-$N10)-$R10</f>
        <v/>
      </c>
      <c r="X10" s="23">
        <f>(1+Assumptions!$G$11)^2*(1+Assumptions!$G$18)^2*$I10+(1+Assumptions!$G$18)^2*MIN(0.95,Assumptions!$G$22*$B10)*(1-Assumptions!$G$58)*$J10-(1+Assumptions!$G$11)^2*(1+Assumptions!$G$18)^2*MIN(0.95,Assumptions!$G$22*$B10)*$K10-(1+Assumptions!$G$11)^2*($L10+IF(2&lt;3,$M10,0))-Assumptions!$G$12*MAX(0,(1+Assumptions!$G$11)^2*(1+Assumptions!$G$18)^2*$I10+(1+Assumptions!$G$18)^2*MIN(0.95,Assumptions!$G$22*$B10)*(1-Assumptions!$G$58)*$J10-(1+Assumptions!$G$11)^2*(1+Assumptions!$G$18)^2*MIN(0.95,Assumptions!$G$22*$B10)*$K10-(1+Assumptions!$G$11)^2*($L10+IF(2&lt;3,$M10,0))-$N10)-0</f>
        <v/>
      </c>
      <c r="Y10" s="23">
        <f>(1+Assumptions!$G$11)^3*(1+Assumptions!$G$18)^3*$I10+(1+Assumptions!$G$18)^3*MIN(0.95,Assumptions!$G$23*$B10)*(1-Assumptions!$G$58)*$J10-(1+Assumptions!$G$11)^3*(1+Assumptions!$G$18)^3*MIN(0.95,Assumptions!$G$23*$B10)*$K10-(1+Assumptions!$G$11)^3*($L10+IF(3&lt;3,$M10,0))-Assumptions!$G$12*MAX(0,(1+Assumptions!$G$11)^3*(1+Assumptions!$G$18)^3*$I10+(1+Assumptions!$G$18)^3*MIN(0.95,Assumptions!$G$23*$B10)*(1-Assumptions!$G$58)*$J10-(1+Assumptions!$G$11)^3*(1+Assumptions!$G$18)^3*MIN(0.95,Assumptions!$G$23*$B10)*$K10-(1+Assumptions!$G$11)^3*($L10+IF(3&lt;3,$M10,0))-$N10)-0</f>
        <v/>
      </c>
      <c r="Z10" s="23">
        <f>(1+Assumptions!$G$11)^4*(1+Assumptions!$G$18)^4*$I10+(1+Assumptions!$G$18)^4*MIN(0.95,Assumptions!$G$24*$B10)*(1-Assumptions!$G$58)*$J10-(1+Assumptions!$G$11)^4*(1+Assumptions!$G$18)^4*MIN(0.95,Assumptions!$G$24*$B10)*$K10-(1+Assumptions!$G$11)^4*($L10+IF(4&lt;3,$M10,0))-Assumptions!$G$12*MAX(0,(1+Assumptions!$G$11)^4*(1+Assumptions!$G$18)^4*$I10+(1+Assumptions!$G$18)^4*MIN(0.95,Assumptions!$G$24*$B10)*(1-Assumptions!$G$58)*$J10-(1+Assumptions!$G$11)^4*(1+Assumptions!$G$18)^4*MIN(0.95,Assumptions!$G$24*$B10)*$K10-(1+Assumptions!$G$11)^4*($L10+IF(4&lt;3,$M10,0))-$N10)-0</f>
        <v/>
      </c>
      <c r="AA10" s="23">
        <f>(1+Assumptions!$G$11)^5*(1+Assumptions!$G$18)^5*$I10+(1+Assumptions!$G$18)^5*MIN(0.95,Assumptions!$G$25*$B10)*(1-Assumptions!$G$58)*$J10-(1+Assumptions!$G$11)^5*(1+Assumptions!$G$18)^5*MIN(0.95,Assumptions!$G$25*$B10)*$K10-(1+Assumptions!$G$11)^5*($L10+IF(5&lt;3,$M10,0))-Assumptions!$G$12*MAX(0,(1+Assumptions!$G$11)^5*(1+Assumptions!$G$18)^5*$I10+(1+Assumptions!$G$18)^5*MIN(0.95,Assumptions!$G$25*$B10)*(1-Assumptions!$G$58)*$J10-(1+Assumptions!$G$11)^5*(1+Assumptions!$G$18)^5*MIN(0.95,Assumptions!$G$25*$B10)*$K10-(1+Assumptions!$G$11)^5*($L10+IF(5&lt;3,$M10,0))-$N10)-0</f>
        <v/>
      </c>
      <c r="AB10" s="23">
        <f>(1+Assumptions!$G$11)^6*(1+Assumptions!$G$18)^6*$I10+(1+Assumptions!$G$18)^6*MIN(0.95,Assumptions!$G$26*$B10)*(1-Assumptions!$G$58)*$J10-(1+Assumptions!$G$11)^6*(1+Assumptions!$G$18)^6*MIN(0.95,Assumptions!$G$26*$B10)*$K10-(1+Assumptions!$G$11)^6*($L10+IF(6&lt;3,$M10,0))-Assumptions!$G$12*MAX(0,(1+Assumptions!$G$11)^6*(1+Assumptions!$G$18)^6*$I10+(1+Assumptions!$G$18)^6*MIN(0.95,Assumptions!$G$26*$B10)*(1-Assumptions!$G$58)*$J10-(1+Assumptions!$G$11)^6*(1+Assumptions!$G$18)^6*MIN(0.95,Assumptions!$G$26*$B10)*$K10-(1+Assumptions!$G$11)^6*($L10+IF(6&lt;3,$M10,0))-$N10)-0</f>
        <v/>
      </c>
      <c r="AC10" s="23">
        <f>(1+Assumptions!$G$11)^7*(1+Assumptions!$G$18)^7*$I10+(1+Assumptions!$G$18)^7*MIN(0.95,Assumptions!$G$27*$B10)*(1-Assumptions!$G$58)*$J10-(1+Assumptions!$G$11)^7*(1+Assumptions!$G$18)^7*MIN(0.95,Assumptions!$G$27*$B10)*$K10-(1+Assumptions!$G$11)^7*($L10+IF(7&lt;3,$M10,0))-Assumptions!$G$12*MAX(0,(1+Assumptions!$G$11)^7*(1+Assumptions!$G$18)^7*$I10+(1+Assumptions!$G$18)^7*MIN(0.95,Assumptions!$G$27*$B10)*(1-Assumptions!$G$58)*$J10-(1+Assumptions!$G$11)^7*(1+Assumptions!$G$18)^7*MIN(0.95,Assumptions!$G$27*$B10)*$K10-(1+Assumptions!$G$11)^7*($L10+IF(7&lt;3,$M10,0))-$N10)-0</f>
        <v/>
      </c>
      <c r="AD10" s="23">
        <f>(1+Assumptions!$G$11)^8*(1+Assumptions!$G$18)^8*$I10+(1+Assumptions!$G$18)^8*MIN(0.95,Assumptions!$G$28*$B10)*(1-Assumptions!$G$58)*$J10-(1+Assumptions!$G$11)^8*(1+Assumptions!$G$18)^8*MIN(0.95,Assumptions!$G$28*$B10)*$K10-(1+Assumptions!$G$11)^8*($L10+IF(8&lt;3,$M10,0))-Assumptions!$G$12*MAX(0,(1+Assumptions!$G$11)^8*(1+Assumptions!$G$18)^8*$I10+(1+Assumptions!$G$18)^8*MIN(0.95,Assumptions!$G$28*$B10)*(1-Assumptions!$G$58)*$J10-(1+Assumptions!$G$11)^8*(1+Assumptions!$G$18)^8*MIN(0.95,Assumptions!$G$28*$B10)*$K10-(1+Assumptions!$G$11)^8*($L10+IF(8&lt;3,$M10,0))-$N10)-0</f>
        <v/>
      </c>
      <c r="AE10" s="23">
        <f>(1+Assumptions!$G$11)^9*(1+Assumptions!$G$18)^9*$I10+(1+Assumptions!$G$18)^9*MIN(0.95,Assumptions!$G$29*$B10)*(1-Assumptions!$G$58)*$J10-(1+Assumptions!$G$11)^9*(1+Assumptions!$G$18)^9*MIN(0.95,Assumptions!$G$29*$B10)*$K10-(1+Assumptions!$G$11)^9*($L10+IF(9&lt;3,$M10,0))-Assumptions!$G$12*MAX(0,(1+Assumptions!$G$11)^9*(1+Assumptions!$G$18)^9*$I10+(1+Assumptions!$G$18)^9*MIN(0.95,Assumptions!$G$29*$B10)*(1-Assumptions!$G$58)*$J10-(1+Assumptions!$G$11)^9*(1+Assumptions!$G$18)^9*MIN(0.95,Assumptions!$G$29*$B10)*$K10-(1+Assumptions!$G$11)^9*($L10+IF(9&lt;3,$M10,0))-$N10)-0</f>
        <v/>
      </c>
      <c r="AG10" s="19">
        <f>IFERROR(IRR(T10:AE10),"n.m.")</f>
        <v/>
      </c>
      <c r="AH10" s="33">
        <f>IFERROR((AG10-AG$6)*100,"n.m.")</f>
        <v/>
      </c>
    </row>
    <row r="11">
      <c r="A11" s="9" t="inlineStr">
        <is>
          <t>rPET price −30%</t>
        </is>
      </c>
      <c r="B11" s="32" t="n">
        <v>1</v>
      </c>
      <c r="C11" s="32" t="n">
        <v>1</v>
      </c>
      <c r="D11" s="32" t="n">
        <v>0.7</v>
      </c>
      <c r="E11" s="32" t="n">
        <v>1</v>
      </c>
      <c r="F11" s="32" t="n">
        <v>1</v>
      </c>
      <c r="G11" s="32" t="n">
        <v>1</v>
      </c>
      <c r="I11" s="23">
        <f>$C11*(Assumptions!$G$15*Assumptions!$G$60+Assumptions!$G$16*Assumptions!$G$61+Assumptions!$G$17*Assumptions!$G$62)*1000</f>
        <v/>
      </c>
      <c r="J11" s="23">
        <f>(Assumptions!$G$15*Assumptions!$G$67*Assumptions!$G$64*Assumptions!$G$7*$D11+Assumptions!$G$16*Assumptions!$G$68*Assumptions!$G$65*Assumptions!$G$7*$E11+Assumptions!$G$17*Assumptions!$G$69*Assumptions!$G$66)/1000</f>
        <v/>
      </c>
      <c r="K11" s="23">
        <f>(Assumptions!$G$15+Assumptions!$G$16+Assumptions!$G$17)*(Assumptions!$G$48+Assumptions!$G$49+Assumptions!$G$50+Assumptions!$G$51)*$G11*1000</f>
        <v/>
      </c>
      <c r="L11" s="23">
        <f>Assumptions!$G$53+Assumptions!$G$54+Assumptions!$G$56+Assumptions!$G$57+Assumptions!$G$31*Assumptions!$G$52/1000000</f>
        <v/>
      </c>
      <c r="M11" s="23">
        <f>Assumptions!$G$55-Assumptions!$G$56</f>
        <v/>
      </c>
      <c r="N11" s="25">
        <f>Assumptions!$G$31*Assumptions!$G$32/1000000*$F11*(1+Assumptions!$G$43)/Assumptions!$G$33+3*Assumptions!$G$35*(1+Assumptions!$G$43)/Assumptions!$G$36+Assumptions!$G$37*(1+Assumptions!$G$43)/Assumptions!$G$38+Assumptions!$G$39*(1+Assumptions!$G$43)/Assumptions!$G$40+Assumptions!$G$41/Assumptions!$G$42</f>
        <v/>
      </c>
      <c r="O11" s="25">
        <f>0.5*Assumptions!$G$37+0.55*Assumptions!$G$41+Assumptions!$G$43*0.5*Assumptions!$G$37</f>
        <v/>
      </c>
      <c r="P11" s="25">
        <f>0.34*Assumptions!$G$31*Assumptions!$G$32/1000000*$F11+Assumptions!$G$35+0.5*Assumptions!$G$37+0.6*Assumptions!$G$39+0.45*Assumptions!$G$41+Assumptions!$G$43*(0.34*Assumptions!$G$31*Assumptions!$G$32/1000000*$F11+Assumptions!$G$35+0.5*Assumptions!$G$37+0.6*Assumptions!$G$39)</f>
        <v/>
      </c>
      <c r="Q11" s="25">
        <f>0.43*Assumptions!$G$31*Assumptions!$G$32/1000000*$F11+2*Assumptions!$G$35+0.4*Assumptions!$G$39+Assumptions!$G$43*(0.43*Assumptions!$G$31*Assumptions!$G$32/1000000*$F11+2*Assumptions!$G$35+0.4*Assumptions!$G$39)</f>
        <v/>
      </c>
      <c r="R11" s="25">
        <f>0.23*Assumptions!$G$31*Assumptions!$G$32/1000000*$F11*(1+Assumptions!$G$43)</f>
        <v/>
      </c>
      <c r="T11" s="23">
        <f>-O11</f>
        <v/>
      </c>
      <c r="U11" s="23">
        <f>-P11</f>
        <v/>
      </c>
      <c r="V11" s="23">
        <f>(1+Assumptions!$G$11)^0*(1+Assumptions!$G$18)^0*$I11+(1+Assumptions!$G$18)^0*MIN(0.95,Assumptions!$G$20*$B11)*(1-Assumptions!$G$58)*$J11-(1+Assumptions!$G$11)^0*(1+Assumptions!$G$18)^0*MIN(0.95,Assumptions!$G$20*$B11)*$K11-(1+Assumptions!$G$11)^0*($L11+IF(0&lt;3,$M11,0))-Assumptions!$G$12*MAX(0,(1+Assumptions!$G$11)^0*(1+Assumptions!$G$18)^0*$I11+(1+Assumptions!$G$18)^0*MIN(0.95,Assumptions!$G$20*$B11)*(1-Assumptions!$G$58)*$J11-(1+Assumptions!$G$11)^0*(1+Assumptions!$G$18)^0*MIN(0.95,Assumptions!$G$20*$B11)*$K11-(1+Assumptions!$G$11)^0*($L11+IF(0&lt;3,$M11,0))-$N11)-$Q11</f>
        <v/>
      </c>
      <c r="W11" s="23">
        <f>(1+Assumptions!$G$11)^1*(1+Assumptions!$G$18)^1*$I11+(1+Assumptions!$G$18)^1*MIN(0.95,Assumptions!$G$21*$B11)*(1-Assumptions!$G$58)*$J11-(1+Assumptions!$G$11)^1*(1+Assumptions!$G$18)^1*MIN(0.95,Assumptions!$G$21*$B11)*$K11-(1+Assumptions!$G$11)^1*($L11+IF(1&lt;3,$M11,0))-Assumptions!$G$12*MAX(0,(1+Assumptions!$G$11)^1*(1+Assumptions!$G$18)^1*$I11+(1+Assumptions!$G$18)^1*MIN(0.95,Assumptions!$G$21*$B11)*(1-Assumptions!$G$58)*$J11-(1+Assumptions!$G$11)^1*(1+Assumptions!$G$18)^1*MIN(0.95,Assumptions!$G$21*$B11)*$K11-(1+Assumptions!$G$11)^1*($L11+IF(1&lt;3,$M11,0))-$N11)-$R11</f>
        <v/>
      </c>
      <c r="X11" s="23">
        <f>(1+Assumptions!$G$11)^2*(1+Assumptions!$G$18)^2*$I11+(1+Assumptions!$G$18)^2*MIN(0.95,Assumptions!$G$22*$B11)*(1-Assumptions!$G$58)*$J11-(1+Assumptions!$G$11)^2*(1+Assumptions!$G$18)^2*MIN(0.95,Assumptions!$G$22*$B11)*$K11-(1+Assumptions!$G$11)^2*($L11+IF(2&lt;3,$M11,0))-Assumptions!$G$12*MAX(0,(1+Assumptions!$G$11)^2*(1+Assumptions!$G$18)^2*$I11+(1+Assumptions!$G$18)^2*MIN(0.95,Assumptions!$G$22*$B11)*(1-Assumptions!$G$58)*$J11-(1+Assumptions!$G$11)^2*(1+Assumptions!$G$18)^2*MIN(0.95,Assumptions!$G$22*$B11)*$K11-(1+Assumptions!$G$11)^2*($L11+IF(2&lt;3,$M11,0))-$N11)-0</f>
        <v/>
      </c>
      <c r="Y11" s="23">
        <f>(1+Assumptions!$G$11)^3*(1+Assumptions!$G$18)^3*$I11+(1+Assumptions!$G$18)^3*MIN(0.95,Assumptions!$G$23*$B11)*(1-Assumptions!$G$58)*$J11-(1+Assumptions!$G$11)^3*(1+Assumptions!$G$18)^3*MIN(0.95,Assumptions!$G$23*$B11)*$K11-(1+Assumptions!$G$11)^3*($L11+IF(3&lt;3,$M11,0))-Assumptions!$G$12*MAX(0,(1+Assumptions!$G$11)^3*(1+Assumptions!$G$18)^3*$I11+(1+Assumptions!$G$18)^3*MIN(0.95,Assumptions!$G$23*$B11)*(1-Assumptions!$G$58)*$J11-(1+Assumptions!$G$11)^3*(1+Assumptions!$G$18)^3*MIN(0.95,Assumptions!$G$23*$B11)*$K11-(1+Assumptions!$G$11)^3*($L11+IF(3&lt;3,$M11,0))-$N11)-0</f>
        <v/>
      </c>
      <c r="Z11" s="23">
        <f>(1+Assumptions!$G$11)^4*(1+Assumptions!$G$18)^4*$I11+(1+Assumptions!$G$18)^4*MIN(0.95,Assumptions!$G$24*$B11)*(1-Assumptions!$G$58)*$J11-(1+Assumptions!$G$11)^4*(1+Assumptions!$G$18)^4*MIN(0.95,Assumptions!$G$24*$B11)*$K11-(1+Assumptions!$G$11)^4*($L11+IF(4&lt;3,$M11,0))-Assumptions!$G$12*MAX(0,(1+Assumptions!$G$11)^4*(1+Assumptions!$G$18)^4*$I11+(1+Assumptions!$G$18)^4*MIN(0.95,Assumptions!$G$24*$B11)*(1-Assumptions!$G$58)*$J11-(1+Assumptions!$G$11)^4*(1+Assumptions!$G$18)^4*MIN(0.95,Assumptions!$G$24*$B11)*$K11-(1+Assumptions!$G$11)^4*($L11+IF(4&lt;3,$M11,0))-$N11)-0</f>
        <v/>
      </c>
      <c r="AA11" s="23">
        <f>(1+Assumptions!$G$11)^5*(1+Assumptions!$G$18)^5*$I11+(1+Assumptions!$G$18)^5*MIN(0.95,Assumptions!$G$25*$B11)*(1-Assumptions!$G$58)*$J11-(1+Assumptions!$G$11)^5*(1+Assumptions!$G$18)^5*MIN(0.95,Assumptions!$G$25*$B11)*$K11-(1+Assumptions!$G$11)^5*($L11+IF(5&lt;3,$M11,0))-Assumptions!$G$12*MAX(0,(1+Assumptions!$G$11)^5*(1+Assumptions!$G$18)^5*$I11+(1+Assumptions!$G$18)^5*MIN(0.95,Assumptions!$G$25*$B11)*(1-Assumptions!$G$58)*$J11-(1+Assumptions!$G$11)^5*(1+Assumptions!$G$18)^5*MIN(0.95,Assumptions!$G$25*$B11)*$K11-(1+Assumptions!$G$11)^5*($L11+IF(5&lt;3,$M11,0))-$N11)-0</f>
        <v/>
      </c>
      <c r="AB11" s="23">
        <f>(1+Assumptions!$G$11)^6*(1+Assumptions!$G$18)^6*$I11+(1+Assumptions!$G$18)^6*MIN(0.95,Assumptions!$G$26*$B11)*(1-Assumptions!$G$58)*$J11-(1+Assumptions!$G$11)^6*(1+Assumptions!$G$18)^6*MIN(0.95,Assumptions!$G$26*$B11)*$K11-(1+Assumptions!$G$11)^6*($L11+IF(6&lt;3,$M11,0))-Assumptions!$G$12*MAX(0,(1+Assumptions!$G$11)^6*(1+Assumptions!$G$18)^6*$I11+(1+Assumptions!$G$18)^6*MIN(0.95,Assumptions!$G$26*$B11)*(1-Assumptions!$G$58)*$J11-(1+Assumptions!$G$11)^6*(1+Assumptions!$G$18)^6*MIN(0.95,Assumptions!$G$26*$B11)*$K11-(1+Assumptions!$G$11)^6*($L11+IF(6&lt;3,$M11,0))-$N11)-0</f>
        <v/>
      </c>
      <c r="AC11" s="23">
        <f>(1+Assumptions!$G$11)^7*(1+Assumptions!$G$18)^7*$I11+(1+Assumptions!$G$18)^7*MIN(0.95,Assumptions!$G$27*$B11)*(1-Assumptions!$G$58)*$J11-(1+Assumptions!$G$11)^7*(1+Assumptions!$G$18)^7*MIN(0.95,Assumptions!$G$27*$B11)*$K11-(1+Assumptions!$G$11)^7*($L11+IF(7&lt;3,$M11,0))-Assumptions!$G$12*MAX(0,(1+Assumptions!$G$11)^7*(1+Assumptions!$G$18)^7*$I11+(1+Assumptions!$G$18)^7*MIN(0.95,Assumptions!$G$27*$B11)*(1-Assumptions!$G$58)*$J11-(1+Assumptions!$G$11)^7*(1+Assumptions!$G$18)^7*MIN(0.95,Assumptions!$G$27*$B11)*$K11-(1+Assumptions!$G$11)^7*($L11+IF(7&lt;3,$M11,0))-$N11)-0</f>
        <v/>
      </c>
      <c r="AD11" s="23">
        <f>(1+Assumptions!$G$11)^8*(1+Assumptions!$G$18)^8*$I11+(1+Assumptions!$G$18)^8*MIN(0.95,Assumptions!$G$28*$B11)*(1-Assumptions!$G$58)*$J11-(1+Assumptions!$G$11)^8*(1+Assumptions!$G$18)^8*MIN(0.95,Assumptions!$G$28*$B11)*$K11-(1+Assumptions!$G$11)^8*($L11+IF(8&lt;3,$M11,0))-Assumptions!$G$12*MAX(0,(1+Assumptions!$G$11)^8*(1+Assumptions!$G$18)^8*$I11+(1+Assumptions!$G$18)^8*MIN(0.95,Assumptions!$G$28*$B11)*(1-Assumptions!$G$58)*$J11-(1+Assumptions!$G$11)^8*(1+Assumptions!$G$18)^8*MIN(0.95,Assumptions!$G$28*$B11)*$K11-(1+Assumptions!$G$11)^8*($L11+IF(8&lt;3,$M11,0))-$N11)-0</f>
        <v/>
      </c>
      <c r="AE11" s="23">
        <f>(1+Assumptions!$G$11)^9*(1+Assumptions!$G$18)^9*$I11+(1+Assumptions!$G$18)^9*MIN(0.95,Assumptions!$G$29*$B11)*(1-Assumptions!$G$58)*$J11-(1+Assumptions!$G$11)^9*(1+Assumptions!$G$18)^9*MIN(0.95,Assumptions!$G$29*$B11)*$K11-(1+Assumptions!$G$11)^9*($L11+IF(9&lt;3,$M11,0))-Assumptions!$G$12*MAX(0,(1+Assumptions!$G$11)^9*(1+Assumptions!$G$18)^9*$I11+(1+Assumptions!$G$18)^9*MIN(0.95,Assumptions!$G$29*$B11)*(1-Assumptions!$G$58)*$J11-(1+Assumptions!$G$11)^9*(1+Assumptions!$G$18)^9*MIN(0.95,Assumptions!$G$29*$B11)*$K11-(1+Assumptions!$G$11)^9*($L11+IF(9&lt;3,$M11,0))-$N11)-0</f>
        <v/>
      </c>
      <c r="AG11" s="19">
        <f>IFERROR(IRR(T11:AE11),"n.m.")</f>
        <v/>
      </c>
      <c r="AH11" s="33">
        <f>IFERROR((AG11-AG$6)*100,"n.m.")</f>
        <v/>
      </c>
    </row>
    <row r="12">
      <c r="A12" s="9" t="inlineStr">
        <is>
          <t>rPET price +30%</t>
        </is>
      </c>
      <c r="B12" s="32" t="n">
        <v>1</v>
      </c>
      <c r="C12" s="32" t="n">
        <v>1</v>
      </c>
      <c r="D12" s="32" t="n">
        <v>1.3</v>
      </c>
      <c r="E12" s="32" t="n">
        <v>1</v>
      </c>
      <c r="F12" s="32" t="n">
        <v>1</v>
      </c>
      <c r="G12" s="32" t="n">
        <v>1</v>
      </c>
      <c r="I12" s="23">
        <f>$C12*(Assumptions!$G$15*Assumptions!$G$60+Assumptions!$G$16*Assumptions!$G$61+Assumptions!$G$17*Assumptions!$G$62)*1000</f>
        <v/>
      </c>
      <c r="J12" s="23">
        <f>(Assumptions!$G$15*Assumptions!$G$67*Assumptions!$G$64*Assumptions!$G$7*$D12+Assumptions!$G$16*Assumptions!$G$68*Assumptions!$G$65*Assumptions!$G$7*$E12+Assumptions!$G$17*Assumptions!$G$69*Assumptions!$G$66)/1000</f>
        <v/>
      </c>
      <c r="K12" s="23">
        <f>(Assumptions!$G$15+Assumptions!$G$16+Assumptions!$G$17)*(Assumptions!$G$48+Assumptions!$G$49+Assumptions!$G$50+Assumptions!$G$51)*$G12*1000</f>
        <v/>
      </c>
      <c r="L12" s="23">
        <f>Assumptions!$G$53+Assumptions!$G$54+Assumptions!$G$56+Assumptions!$G$57+Assumptions!$G$31*Assumptions!$G$52/1000000</f>
        <v/>
      </c>
      <c r="M12" s="23">
        <f>Assumptions!$G$55-Assumptions!$G$56</f>
        <v/>
      </c>
      <c r="N12" s="25">
        <f>Assumptions!$G$31*Assumptions!$G$32/1000000*$F12*(1+Assumptions!$G$43)/Assumptions!$G$33+3*Assumptions!$G$35*(1+Assumptions!$G$43)/Assumptions!$G$36+Assumptions!$G$37*(1+Assumptions!$G$43)/Assumptions!$G$38+Assumptions!$G$39*(1+Assumptions!$G$43)/Assumptions!$G$40+Assumptions!$G$41/Assumptions!$G$42</f>
        <v/>
      </c>
      <c r="O12" s="25">
        <f>0.5*Assumptions!$G$37+0.55*Assumptions!$G$41+Assumptions!$G$43*0.5*Assumptions!$G$37</f>
        <v/>
      </c>
      <c r="P12" s="25">
        <f>0.34*Assumptions!$G$31*Assumptions!$G$32/1000000*$F12+Assumptions!$G$35+0.5*Assumptions!$G$37+0.6*Assumptions!$G$39+0.45*Assumptions!$G$41+Assumptions!$G$43*(0.34*Assumptions!$G$31*Assumptions!$G$32/1000000*$F12+Assumptions!$G$35+0.5*Assumptions!$G$37+0.6*Assumptions!$G$39)</f>
        <v/>
      </c>
      <c r="Q12" s="25">
        <f>0.43*Assumptions!$G$31*Assumptions!$G$32/1000000*$F12+2*Assumptions!$G$35+0.4*Assumptions!$G$39+Assumptions!$G$43*(0.43*Assumptions!$G$31*Assumptions!$G$32/1000000*$F12+2*Assumptions!$G$35+0.4*Assumptions!$G$39)</f>
        <v/>
      </c>
      <c r="R12" s="25">
        <f>0.23*Assumptions!$G$31*Assumptions!$G$32/1000000*$F12*(1+Assumptions!$G$43)</f>
        <v/>
      </c>
      <c r="T12" s="23">
        <f>-O12</f>
        <v/>
      </c>
      <c r="U12" s="23">
        <f>-P12</f>
        <v/>
      </c>
      <c r="V12" s="23">
        <f>(1+Assumptions!$G$11)^0*(1+Assumptions!$G$18)^0*$I12+(1+Assumptions!$G$18)^0*MIN(0.95,Assumptions!$G$20*$B12)*(1-Assumptions!$G$58)*$J12-(1+Assumptions!$G$11)^0*(1+Assumptions!$G$18)^0*MIN(0.95,Assumptions!$G$20*$B12)*$K12-(1+Assumptions!$G$11)^0*($L12+IF(0&lt;3,$M12,0))-Assumptions!$G$12*MAX(0,(1+Assumptions!$G$11)^0*(1+Assumptions!$G$18)^0*$I12+(1+Assumptions!$G$18)^0*MIN(0.95,Assumptions!$G$20*$B12)*(1-Assumptions!$G$58)*$J12-(1+Assumptions!$G$11)^0*(1+Assumptions!$G$18)^0*MIN(0.95,Assumptions!$G$20*$B12)*$K12-(1+Assumptions!$G$11)^0*($L12+IF(0&lt;3,$M12,0))-$N12)-$Q12</f>
        <v/>
      </c>
      <c r="W12" s="23">
        <f>(1+Assumptions!$G$11)^1*(1+Assumptions!$G$18)^1*$I12+(1+Assumptions!$G$18)^1*MIN(0.95,Assumptions!$G$21*$B12)*(1-Assumptions!$G$58)*$J12-(1+Assumptions!$G$11)^1*(1+Assumptions!$G$18)^1*MIN(0.95,Assumptions!$G$21*$B12)*$K12-(1+Assumptions!$G$11)^1*($L12+IF(1&lt;3,$M12,0))-Assumptions!$G$12*MAX(0,(1+Assumptions!$G$11)^1*(1+Assumptions!$G$18)^1*$I12+(1+Assumptions!$G$18)^1*MIN(0.95,Assumptions!$G$21*$B12)*(1-Assumptions!$G$58)*$J12-(1+Assumptions!$G$11)^1*(1+Assumptions!$G$18)^1*MIN(0.95,Assumptions!$G$21*$B12)*$K12-(1+Assumptions!$G$11)^1*($L12+IF(1&lt;3,$M12,0))-$N12)-$R12</f>
        <v/>
      </c>
      <c r="X12" s="23">
        <f>(1+Assumptions!$G$11)^2*(1+Assumptions!$G$18)^2*$I12+(1+Assumptions!$G$18)^2*MIN(0.95,Assumptions!$G$22*$B12)*(1-Assumptions!$G$58)*$J12-(1+Assumptions!$G$11)^2*(1+Assumptions!$G$18)^2*MIN(0.95,Assumptions!$G$22*$B12)*$K12-(1+Assumptions!$G$11)^2*($L12+IF(2&lt;3,$M12,0))-Assumptions!$G$12*MAX(0,(1+Assumptions!$G$11)^2*(1+Assumptions!$G$18)^2*$I12+(1+Assumptions!$G$18)^2*MIN(0.95,Assumptions!$G$22*$B12)*(1-Assumptions!$G$58)*$J12-(1+Assumptions!$G$11)^2*(1+Assumptions!$G$18)^2*MIN(0.95,Assumptions!$G$22*$B12)*$K12-(1+Assumptions!$G$11)^2*($L12+IF(2&lt;3,$M12,0))-$N12)-0</f>
        <v/>
      </c>
      <c r="Y12" s="23">
        <f>(1+Assumptions!$G$11)^3*(1+Assumptions!$G$18)^3*$I12+(1+Assumptions!$G$18)^3*MIN(0.95,Assumptions!$G$23*$B12)*(1-Assumptions!$G$58)*$J12-(1+Assumptions!$G$11)^3*(1+Assumptions!$G$18)^3*MIN(0.95,Assumptions!$G$23*$B12)*$K12-(1+Assumptions!$G$11)^3*($L12+IF(3&lt;3,$M12,0))-Assumptions!$G$12*MAX(0,(1+Assumptions!$G$11)^3*(1+Assumptions!$G$18)^3*$I12+(1+Assumptions!$G$18)^3*MIN(0.95,Assumptions!$G$23*$B12)*(1-Assumptions!$G$58)*$J12-(1+Assumptions!$G$11)^3*(1+Assumptions!$G$18)^3*MIN(0.95,Assumptions!$G$23*$B12)*$K12-(1+Assumptions!$G$11)^3*($L12+IF(3&lt;3,$M12,0))-$N12)-0</f>
        <v/>
      </c>
      <c r="Z12" s="23">
        <f>(1+Assumptions!$G$11)^4*(1+Assumptions!$G$18)^4*$I12+(1+Assumptions!$G$18)^4*MIN(0.95,Assumptions!$G$24*$B12)*(1-Assumptions!$G$58)*$J12-(1+Assumptions!$G$11)^4*(1+Assumptions!$G$18)^4*MIN(0.95,Assumptions!$G$24*$B12)*$K12-(1+Assumptions!$G$11)^4*($L12+IF(4&lt;3,$M12,0))-Assumptions!$G$12*MAX(0,(1+Assumptions!$G$11)^4*(1+Assumptions!$G$18)^4*$I12+(1+Assumptions!$G$18)^4*MIN(0.95,Assumptions!$G$24*$B12)*(1-Assumptions!$G$58)*$J12-(1+Assumptions!$G$11)^4*(1+Assumptions!$G$18)^4*MIN(0.95,Assumptions!$G$24*$B12)*$K12-(1+Assumptions!$G$11)^4*($L12+IF(4&lt;3,$M12,0))-$N12)-0</f>
        <v/>
      </c>
      <c r="AA12" s="23">
        <f>(1+Assumptions!$G$11)^5*(1+Assumptions!$G$18)^5*$I12+(1+Assumptions!$G$18)^5*MIN(0.95,Assumptions!$G$25*$B12)*(1-Assumptions!$G$58)*$J12-(1+Assumptions!$G$11)^5*(1+Assumptions!$G$18)^5*MIN(0.95,Assumptions!$G$25*$B12)*$K12-(1+Assumptions!$G$11)^5*($L12+IF(5&lt;3,$M12,0))-Assumptions!$G$12*MAX(0,(1+Assumptions!$G$11)^5*(1+Assumptions!$G$18)^5*$I12+(1+Assumptions!$G$18)^5*MIN(0.95,Assumptions!$G$25*$B12)*(1-Assumptions!$G$58)*$J12-(1+Assumptions!$G$11)^5*(1+Assumptions!$G$18)^5*MIN(0.95,Assumptions!$G$25*$B12)*$K12-(1+Assumptions!$G$11)^5*($L12+IF(5&lt;3,$M12,0))-$N12)-0</f>
        <v/>
      </c>
      <c r="AB12" s="23">
        <f>(1+Assumptions!$G$11)^6*(1+Assumptions!$G$18)^6*$I12+(1+Assumptions!$G$18)^6*MIN(0.95,Assumptions!$G$26*$B12)*(1-Assumptions!$G$58)*$J12-(1+Assumptions!$G$11)^6*(1+Assumptions!$G$18)^6*MIN(0.95,Assumptions!$G$26*$B12)*$K12-(1+Assumptions!$G$11)^6*($L12+IF(6&lt;3,$M12,0))-Assumptions!$G$12*MAX(0,(1+Assumptions!$G$11)^6*(1+Assumptions!$G$18)^6*$I12+(1+Assumptions!$G$18)^6*MIN(0.95,Assumptions!$G$26*$B12)*(1-Assumptions!$G$58)*$J12-(1+Assumptions!$G$11)^6*(1+Assumptions!$G$18)^6*MIN(0.95,Assumptions!$G$26*$B12)*$K12-(1+Assumptions!$G$11)^6*($L12+IF(6&lt;3,$M12,0))-$N12)-0</f>
        <v/>
      </c>
      <c r="AC12" s="23">
        <f>(1+Assumptions!$G$11)^7*(1+Assumptions!$G$18)^7*$I12+(1+Assumptions!$G$18)^7*MIN(0.95,Assumptions!$G$27*$B12)*(1-Assumptions!$G$58)*$J12-(1+Assumptions!$G$11)^7*(1+Assumptions!$G$18)^7*MIN(0.95,Assumptions!$G$27*$B12)*$K12-(1+Assumptions!$G$11)^7*($L12+IF(7&lt;3,$M12,0))-Assumptions!$G$12*MAX(0,(1+Assumptions!$G$11)^7*(1+Assumptions!$G$18)^7*$I12+(1+Assumptions!$G$18)^7*MIN(0.95,Assumptions!$G$27*$B12)*(1-Assumptions!$G$58)*$J12-(1+Assumptions!$G$11)^7*(1+Assumptions!$G$18)^7*MIN(0.95,Assumptions!$G$27*$B12)*$K12-(1+Assumptions!$G$11)^7*($L12+IF(7&lt;3,$M12,0))-$N12)-0</f>
        <v/>
      </c>
      <c r="AD12" s="23">
        <f>(1+Assumptions!$G$11)^8*(1+Assumptions!$G$18)^8*$I12+(1+Assumptions!$G$18)^8*MIN(0.95,Assumptions!$G$28*$B12)*(1-Assumptions!$G$58)*$J12-(1+Assumptions!$G$11)^8*(1+Assumptions!$G$18)^8*MIN(0.95,Assumptions!$G$28*$B12)*$K12-(1+Assumptions!$G$11)^8*($L12+IF(8&lt;3,$M12,0))-Assumptions!$G$12*MAX(0,(1+Assumptions!$G$11)^8*(1+Assumptions!$G$18)^8*$I12+(1+Assumptions!$G$18)^8*MIN(0.95,Assumptions!$G$28*$B12)*(1-Assumptions!$G$58)*$J12-(1+Assumptions!$G$11)^8*(1+Assumptions!$G$18)^8*MIN(0.95,Assumptions!$G$28*$B12)*$K12-(1+Assumptions!$G$11)^8*($L12+IF(8&lt;3,$M12,0))-$N12)-0</f>
        <v/>
      </c>
      <c r="AE12" s="23">
        <f>(1+Assumptions!$G$11)^9*(1+Assumptions!$G$18)^9*$I12+(1+Assumptions!$G$18)^9*MIN(0.95,Assumptions!$G$29*$B12)*(1-Assumptions!$G$58)*$J12-(1+Assumptions!$G$11)^9*(1+Assumptions!$G$18)^9*MIN(0.95,Assumptions!$G$29*$B12)*$K12-(1+Assumptions!$G$11)^9*($L12+IF(9&lt;3,$M12,0))-Assumptions!$G$12*MAX(0,(1+Assumptions!$G$11)^9*(1+Assumptions!$G$18)^9*$I12+(1+Assumptions!$G$18)^9*MIN(0.95,Assumptions!$G$29*$B12)*(1-Assumptions!$G$58)*$J12-(1+Assumptions!$G$11)^9*(1+Assumptions!$G$18)^9*MIN(0.95,Assumptions!$G$29*$B12)*$K12-(1+Assumptions!$G$11)^9*($L12+IF(9&lt;3,$M12,0))-$N12)-0</f>
        <v/>
      </c>
      <c r="AG12" s="19">
        <f>IFERROR(IRR(T12:AE12),"n.m.")</f>
        <v/>
      </c>
      <c r="AH12" s="33">
        <f>IFERROR((AG12-AG$6)*100,"n.m.")</f>
        <v/>
      </c>
    </row>
    <row r="13">
      <c r="A13" s="9" t="inlineStr">
        <is>
          <t>UBC price −30%</t>
        </is>
      </c>
      <c r="B13" s="32" t="n">
        <v>1</v>
      </c>
      <c r="C13" s="32" t="n">
        <v>1</v>
      </c>
      <c r="D13" s="32" t="n">
        <v>1</v>
      </c>
      <c r="E13" s="32" t="n">
        <v>0.7</v>
      </c>
      <c r="F13" s="32" t="n">
        <v>1</v>
      </c>
      <c r="G13" s="32" t="n">
        <v>1</v>
      </c>
      <c r="I13" s="23">
        <f>$C13*(Assumptions!$G$15*Assumptions!$G$60+Assumptions!$G$16*Assumptions!$G$61+Assumptions!$G$17*Assumptions!$G$62)*1000</f>
        <v/>
      </c>
      <c r="J13" s="23">
        <f>(Assumptions!$G$15*Assumptions!$G$67*Assumptions!$G$64*Assumptions!$G$7*$D13+Assumptions!$G$16*Assumptions!$G$68*Assumptions!$G$65*Assumptions!$G$7*$E13+Assumptions!$G$17*Assumptions!$G$69*Assumptions!$G$66)/1000</f>
        <v/>
      </c>
      <c r="K13" s="23">
        <f>(Assumptions!$G$15+Assumptions!$G$16+Assumptions!$G$17)*(Assumptions!$G$48+Assumptions!$G$49+Assumptions!$G$50+Assumptions!$G$51)*$G13*1000</f>
        <v/>
      </c>
      <c r="L13" s="23">
        <f>Assumptions!$G$53+Assumptions!$G$54+Assumptions!$G$56+Assumptions!$G$57+Assumptions!$G$31*Assumptions!$G$52/1000000</f>
        <v/>
      </c>
      <c r="M13" s="23">
        <f>Assumptions!$G$55-Assumptions!$G$56</f>
        <v/>
      </c>
      <c r="N13" s="25">
        <f>Assumptions!$G$31*Assumptions!$G$32/1000000*$F13*(1+Assumptions!$G$43)/Assumptions!$G$33+3*Assumptions!$G$35*(1+Assumptions!$G$43)/Assumptions!$G$36+Assumptions!$G$37*(1+Assumptions!$G$43)/Assumptions!$G$38+Assumptions!$G$39*(1+Assumptions!$G$43)/Assumptions!$G$40+Assumptions!$G$41/Assumptions!$G$42</f>
        <v/>
      </c>
      <c r="O13" s="25">
        <f>0.5*Assumptions!$G$37+0.55*Assumptions!$G$41+Assumptions!$G$43*0.5*Assumptions!$G$37</f>
        <v/>
      </c>
      <c r="P13" s="25">
        <f>0.34*Assumptions!$G$31*Assumptions!$G$32/1000000*$F13+Assumptions!$G$35+0.5*Assumptions!$G$37+0.6*Assumptions!$G$39+0.45*Assumptions!$G$41+Assumptions!$G$43*(0.34*Assumptions!$G$31*Assumptions!$G$32/1000000*$F13+Assumptions!$G$35+0.5*Assumptions!$G$37+0.6*Assumptions!$G$39)</f>
        <v/>
      </c>
      <c r="Q13" s="25">
        <f>0.43*Assumptions!$G$31*Assumptions!$G$32/1000000*$F13+2*Assumptions!$G$35+0.4*Assumptions!$G$39+Assumptions!$G$43*(0.43*Assumptions!$G$31*Assumptions!$G$32/1000000*$F13+2*Assumptions!$G$35+0.4*Assumptions!$G$39)</f>
        <v/>
      </c>
      <c r="R13" s="25">
        <f>0.23*Assumptions!$G$31*Assumptions!$G$32/1000000*$F13*(1+Assumptions!$G$43)</f>
        <v/>
      </c>
      <c r="T13" s="23">
        <f>-O13</f>
        <v/>
      </c>
      <c r="U13" s="23">
        <f>-P13</f>
        <v/>
      </c>
      <c r="V13" s="23">
        <f>(1+Assumptions!$G$11)^0*(1+Assumptions!$G$18)^0*$I13+(1+Assumptions!$G$18)^0*MIN(0.95,Assumptions!$G$20*$B13)*(1-Assumptions!$G$58)*$J13-(1+Assumptions!$G$11)^0*(1+Assumptions!$G$18)^0*MIN(0.95,Assumptions!$G$20*$B13)*$K13-(1+Assumptions!$G$11)^0*($L13+IF(0&lt;3,$M13,0))-Assumptions!$G$12*MAX(0,(1+Assumptions!$G$11)^0*(1+Assumptions!$G$18)^0*$I13+(1+Assumptions!$G$18)^0*MIN(0.95,Assumptions!$G$20*$B13)*(1-Assumptions!$G$58)*$J13-(1+Assumptions!$G$11)^0*(1+Assumptions!$G$18)^0*MIN(0.95,Assumptions!$G$20*$B13)*$K13-(1+Assumptions!$G$11)^0*($L13+IF(0&lt;3,$M13,0))-$N13)-$Q13</f>
        <v/>
      </c>
      <c r="W13" s="23">
        <f>(1+Assumptions!$G$11)^1*(1+Assumptions!$G$18)^1*$I13+(1+Assumptions!$G$18)^1*MIN(0.95,Assumptions!$G$21*$B13)*(1-Assumptions!$G$58)*$J13-(1+Assumptions!$G$11)^1*(1+Assumptions!$G$18)^1*MIN(0.95,Assumptions!$G$21*$B13)*$K13-(1+Assumptions!$G$11)^1*($L13+IF(1&lt;3,$M13,0))-Assumptions!$G$12*MAX(0,(1+Assumptions!$G$11)^1*(1+Assumptions!$G$18)^1*$I13+(1+Assumptions!$G$18)^1*MIN(0.95,Assumptions!$G$21*$B13)*(1-Assumptions!$G$58)*$J13-(1+Assumptions!$G$11)^1*(1+Assumptions!$G$18)^1*MIN(0.95,Assumptions!$G$21*$B13)*$K13-(1+Assumptions!$G$11)^1*($L13+IF(1&lt;3,$M13,0))-$N13)-$R13</f>
        <v/>
      </c>
      <c r="X13" s="23">
        <f>(1+Assumptions!$G$11)^2*(1+Assumptions!$G$18)^2*$I13+(1+Assumptions!$G$18)^2*MIN(0.95,Assumptions!$G$22*$B13)*(1-Assumptions!$G$58)*$J13-(1+Assumptions!$G$11)^2*(1+Assumptions!$G$18)^2*MIN(0.95,Assumptions!$G$22*$B13)*$K13-(1+Assumptions!$G$11)^2*($L13+IF(2&lt;3,$M13,0))-Assumptions!$G$12*MAX(0,(1+Assumptions!$G$11)^2*(1+Assumptions!$G$18)^2*$I13+(1+Assumptions!$G$18)^2*MIN(0.95,Assumptions!$G$22*$B13)*(1-Assumptions!$G$58)*$J13-(1+Assumptions!$G$11)^2*(1+Assumptions!$G$18)^2*MIN(0.95,Assumptions!$G$22*$B13)*$K13-(1+Assumptions!$G$11)^2*($L13+IF(2&lt;3,$M13,0))-$N13)-0</f>
        <v/>
      </c>
      <c r="Y13" s="23">
        <f>(1+Assumptions!$G$11)^3*(1+Assumptions!$G$18)^3*$I13+(1+Assumptions!$G$18)^3*MIN(0.95,Assumptions!$G$23*$B13)*(1-Assumptions!$G$58)*$J13-(1+Assumptions!$G$11)^3*(1+Assumptions!$G$18)^3*MIN(0.95,Assumptions!$G$23*$B13)*$K13-(1+Assumptions!$G$11)^3*($L13+IF(3&lt;3,$M13,0))-Assumptions!$G$12*MAX(0,(1+Assumptions!$G$11)^3*(1+Assumptions!$G$18)^3*$I13+(1+Assumptions!$G$18)^3*MIN(0.95,Assumptions!$G$23*$B13)*(1-Assumptions!$G$58)*$J13-(1+Assumptions!$G$11)^3*(1+Assumptions!$G$18)^3*MIN(0.95,Assumptions!$G$23*$B13)*$K13-(1+Assumptions!$G$11)^3*($L13+IF(3&lt;3,$M13,0))-$N13)-0</f>
        <v/>
      </c>
      <c r="Z13" s="23">
        <f>(1+Assumptions!$G$11)^4*(1+Assumptions!$G$18)^4*$I13+(1+Assumptions!$G$18)^4*MIN(0.95,Assumptions!$G$24*$B13)*(1-Assumptions!$G$58)*$J13-(1+Assumptions!$G$11)^4*(1+Assumptions!$G$18)^4*MIN(0.95,Assumptions!$G$24*$B13)*$K13-(1+Assumptions!$G$11)^4*($L13+IF(4&lt;3,$M13,0))-Assumptions!$G$12*MAX(0,(1+Assumptions!$G$11)^4*(1+Assumptions!$G$18)^4*$I13+(1+Assumptions!$G$18)^4*MIN(0.95,Assumptions!$G$24*$B13)*(1-Assumptions!$G$58)*$J13-(1+Assumptions!$G$11)^4*(1+Assumptions!$G$18)^4*MIN(0.95,Assumptions!$G$24*$B13)*$K13-(1+Assumptions!$G$11)^4*($L13+IF(4&lt;3,$M13,0))-$N13)-0</f>
        <v/>
      </c>
      <c r="AA13" s="23">
        <f>(1+Assumptions!$G$11)^5*(1+Assumptions!$G$18)^5*$I13+(1+Assumptions!$G$18)^5*MIN(0.95,Assumptions!$G$25*$B13)*(1-Assumptions!$G$58)*$J13-(1+Assumptions!$G$11)^5*(1+Assumptions!$G$18)^5*MIN(0.95,Assumptions!$G$25*$B13)*$K13-(1+Assumptions!$G$11)^5*($L13+IF(5&lt;3,$M13,0))-Assumptions!$G$12*MAX(0,(1+Assumptions!$G$11)^5*(1+Assumptions!$G$18)^5*$I13+(1+Assumptions!$G$18)^5*MIN(0.95,Assumptions!$G$25*$B13)*(1-Assumptions!$G$58)*$J13-(1+Assumptions!$G$11)^5*(1+Assumptions!$G$18)^5*MIN(0.95,Assumptions!$G$25*$B13)*$K13-(1+Assumptions!$G$11)^5*($L13+IF(5&lt;3,$M13,0))-$N13)-0</f>
        <v/>
      </c>
      <c r="AB13" s="23">
        <f>(1+Assumptions!$G$11)^6*(1+Assumptions!$G$18)^6*$I13+(1+Assumptions!$G$18)^6*MIN(0.95,Assumptions!$G$26*$B13)*(1-Assumptions!$G$58)*$J13-(1+Assumptions!$G$11)^6*(1+Assumptions!$G$18)^6*MIN(0.95,Assumptions!$G$26*$B13)*$K13-(1+Assumptions!$G$11)^6*($L13+IF(6&lt;3,$M13,0))-Assumptions!$G$12*MAX(0,(1+Assumptions!$G$11)^6*(1+Assumptions!$G$18)^6*$I13+(1+Assumptions!$G$18)^6*MIN(0.95,Assumptions!$G$26*$B13)*(1-Assumptions!$G$58)*$J13-(1+Assumptions!$G$11)^6*(1+Assumptions!$G$18)^6*MIN(0.95,Assumptions!$G$26*$B13)*$K13-(1+Assumptions!$G$11)^6*($L13+IF(6&lt;3,$M13,0))-$N13)-0</f>
        <v/>
      </c>
      <c r="AC13" s="23">
        <f>(1+Assumptions!$G$11)^7*(1+Assumptions!$G$18)^7*$I13+(1+Assumptions!$G$18)^7*MIN(0.95,Assumptions!$G$27*$B13)*(1-Assumptions!$G$58)*$J13-(1+Assumptions!$G$11)^7*(1+Assumptions!$G$18)^7*MIN(0.95,Assumptions!$G$27*$B13)*$K13-(1+Assumptions!$G$11)^7*($L13+IF(7&lt;3,$M13,0))-Assumptions!$G$12*MAX(0,(1+Assumptions!$G$11)^7*(1+Assumptions!$G$18)^7*$I13+(1+Assumptions!$G$18)^7*MIN(0.95,Assumptions!$G$27*$B13)*(1-Assumptions!$G$58)*$J13-(1+Assumptions!$G$11)^7*(1+Assumptions!$G$18)^7*MIN(0.95,Assumptions!$G$27*$B13)*$K13-(1+Assumptions!$G$11)^7*($L13+IF(7&lt;3,$M13,0))-$N13)-0</f>
        <v/>
      </c>
      <c r="AD13" s="23">
        <f>(1+Assumptions!$G$11)^8*(1+Assumptions!$G$18)^8*$I13+(1+Assumptions!$G$18)^8*MIN(0.95,Assumptions!$G$28*$B13)*(1-Assumptions!$G$58)*$J13-(1+Assumptions!$G$11)^8*(1+Assumptions!$G$18)^8*MIN(0.95,Assumptions!$G$28*$B13)*$K13-(1+Assumptions!$G$11)^8*($L13+IF(8&lt;3,$M13,0))-Assumptions!$G$12*MAX(0,(1+Assumptions!$G$11)^8*(1+Assumptions!$G$18)^8*$I13+(1+Assumptions!$G$18)^8*MIN(0.95,Assumptions!$G$28*$B13)*(1-Assumptions!$G$58)*$J13-(1+Assumptions!$G$11)^8*(1+Assumptions!$G$18)^8*MIN(0.95,Assumptions!$G$28*$B13)*$K13-(1+Assumptions!$G$11)^8*($L13+IF(8&lt;3,$M13,0))-$N13)-0</f>
        <v/>
      </c>
      <c r="AE13" s="23">
        <f>(1+Assumptions!$G$11)^9*(1+Assumptions!$G$18)^9*$I13+(1+Assumptions!$G$18)^9*MIN(0.95,Assumptions!$G$29*$B13)*(1-Assumptions!$G$58)*$J13-(1+Assumptions!$G$11)^9*(1+Assumptions!$G$18)^9*MIN(0.95,Assumptions!$G$29*$B13)*$K13-(1+Assumptions!$G$11)^9*($L13+IF(9&lt;3,$M13,0))-Assumptions!$G$12*MAX(0,(1+Assumptions!$G$11)^9*(1+Assumptions!$G$18)^9*$I13+(1+Assumptions!$G$18)^9*MIN(0.95,Assumptions!$G$29*$B13)*(1-Assumptions!$G$58)*$J13-(1+Assumptions!$G$11)^9*(1+Assumptions!$G$18)^9*MIN(0.95,Assumptions!$G$29*$B13)*$K13-(1+Assumptions!$G$11)^9*($L13+IF(9&lt;3,$M13,0))-$N13)-0</f>
        <v/>
      </c>
      <c r="AG13" s="19">
        <f>IFERROR(IRR(T13:AE13),"n.m.")</f>
        <v/>
      </c>
      <c r="AH13" s="33">
        <f>IFERROR((AG13-AG$6)*100,"n.m.")</f>
        <v/>
      </c>
    </row>
    <row r="14">
      <c r="A14" s="9" t="inlineStr">
        <is>
          <t>UBC price +30%</t>
        </is>
      </c>
      <c r="B14" s="32" t="n">
        <v>1</v>
      </c>
      <c r="C14" s="32" t="n">
        <v>1</v>
      </c>
      <c r="D14" s="32" t="n">
        <v>1</v>
      </c>
      <c r="E14" s="32" t="n">
        <v>1.3</v>
      </c>
      <c r="F14" s="32" t="n">
        <v>1</v>
      </c>
      <c r="G14" s="32" t="n">
        <v>1</v>
      </c>
      <c r="I14" s="23">
        <f>$C14*(Assumptions!$G$15*Assumptions!$G$60+Assumptions!$G$16*Assumptions!$G$61+Assumptions!$G$17*Assumptions!$G$62)*1000</f>
        <v/>
      </c>
      <c r="J14" s="23">
        <f>(Assumptions!$G$15*Assumptions!$G$67*Assumptions!$G$64*Assumptions!$G$7*$D14+Assumptions!$G$16*Assumptions!$G$68*Assumptions!$G$65*Assumptions!$G$7*$E14+Assumptions!$G$17*Assumptions!$G$69*Assumptions!$G$66)/1000</f>
        <v/>
      </c>
      <c r="K14" s="23">
        <f>(Assumptions!$G$15+Assumptions!$G$16+Assumptions!$G$17)*(Assumptions!$G$48+Assumptions!$G$49+Assumptions!$G$50+Assumptions!$G$51)*$G14*1000</f>
        <v/>
      </c>
      <c r="L14" s="23">
        <f>Assumptions!$G$53+Assumptions!$G$54+Assumptions!$G$56+Assumptions!$G$57+Assumptions!$G$31*Assumptions!$G$52/1000000</f>
        <v/>
      </c>
      <c r="M14" s="23">
        <f>Assumptions!$G$55-Assumptions!$G$56</f>
        <v/>
      </c>
      <c r="N14" s="25">
        <f>Assumptions!$G$31*Assumptions!$G$32/1000000*$F14*(1+Assumptions!$G$43)/Assumptions!$G$33+3*Assumptions!$G$35*(1+Assumptions!$G$43)/Assumptions!$G$36+Assumptions!$G$37*(1+Assumptions!$G$43)/Assumptions!$G$38+Assumptions!$G$39*(1+Assumptions!$G$43)/Assumptions!$G$40+Assumptions!$G$41/Assumptions!$G$42</f>
        <v/>
      </c>
      <c r="O14" s="25">
        <f>0.5*Assumptions!$G$37+0.55*Assumptions!$G$41+Assumptions!$G$43*0.5*Assumptions!$G$37</f>
        <v/>
      </c>
      <c r="P14" s="25">
        <f>0.34*Assumptions!$G$31*Assumptions!$G$32/1000000*$F14+Assumptions!$G$35+0.5*Assumptions!$G$37+0.6*Assumptions!$G$39+0.45*Assumptions!$G$41+Assumptions!$G$43*(0.34*Assumptions!$G$31*Assumptions!$G$32/1000000*$F14+Assumptions!$G$35+0.5*Assumptions!$G$37+0.6*Assumptions!$G$39)</f>
        <v/>
      </c>
      <c r="Q14" s="25">
        <f>0.43*Assumptions!$G$31*Assumptions!$G$32/1000000*$F14+2*Assumptions!$G$35+0.4*Assumptions!$G$39+Assumptions!$G$43*(0.43*Assumptions!$G$31*Assumptions!$G$32/1000000*$F14+2*Assumptions!$G$35+0.4*Assumptions!$G$39)</f>
        <v/>
      </c>
      <c r="R14" s="25">
        <f>0.23*Assumptions!$G$31*Assumptions!$G$32/1000000*$F14*(1+Assumptions!$G$43)</f>
        <v/>
      </c>
      <c r="T14" s="23">
        <f>-O14</f>
        <v/>
      </c>
      <c r="U14" s="23">
        <f>-P14</f>
        <v/>
      </c>
      <c r="V14" s="23">
        <f>(1+Assumptions!$G$11)^0*(1+Assumptions!$G$18)^0*$I14+(1+Assumptions!$G$18)^0*MIN(0.95,Assumptions!$G$20*$B14)*(1-Assumptions!$G$58)*$J14-(1+Assumptions!$G$11)^0*(1+Assumptions!$G$18)^0*MIN(0.95,Assumptions!$G$20*$B14)*$K14-(1+Assumptions!$G$11)^0*($L14+IF(0&lt;3,$M14,0))-Assumptions!$G$12*MAX(0,(1+Assumptions!$G$11)^0*(1+Assumptions!$G$18)^0*$I14+(1+Assumptions!$G$18)^0*MIN(0.95,Assumptions!$G$20*$B14)*(1-Assumptions!$G$58)*$J14-(1+Assumptions!$G$11)^0*(1+Assumptions!$G$18)^0*MIN(0.95,Assumptions!$G$20*$B14)*$K14-(1+Assumptions!$G$11)^0*($L14+IF(0&lt;3,$M14,0))-$N14)-$Q14</f>
        <v/>
      </c>
      <c r="W14" s="23">
        <f>(1+Assumptions!$G$11)^1*(1+Assumptions!$G$18)^1*$I14+(1+Assumptions!$G$18)^1*MIN(0.95,Assumptions!$G$21*$B14)*(1-Assumptions!$G$58)*$J14-(1+Assumptions!$G$11)^1*(1+Assumptions!$G$18)^1*MIN(0.95,Assumptions!$G$21*$B14)*$K14-(1+Assumptions!$G$11)^1*($L14+IF(1&lt;3,$M14,0))-Assumptions!$G$12*MAX(0,(1+Assumptions!$G$11)^1*(1+Assumptions!$G$18)^1*$I14+(1+Assumptions!$G$18)^1*MIN(0.95,Assumptions!$G$21*$B14)*(1-Assumptions!$G$58)*$J14-(1+Assumptions!$G$11)^1*(1+Assumptions!$G$18)^1*MIN(0.95,Assumptions!$G$21*$B14)*$K14-(1+Assumptions!$G$11)^1*($L14+IF(1&lt;3,$M14,0))-$N14)-$R14</f>
        <v/>
      </c>
      <c r="X14" s="23">
        <f>(1+Assumptions!$G$11)^2*(1+Assumptions!$G$18)^2*$I14+(1+Assumptions!$G$18)^2*MIN(0.95,Assumptions!$G$22*$B14)*(1-Assumptions!$G$58)*$J14-(1+Assumptions!$G$11)^2*(1+Assumptions!$G$18)^2*MIN(0.95,Assumptions!$G$22*$B14)*$K14-(1+Assumptions!$G$11)^2*($L14+IF(2&lt;3,$M14,0))-Assumptions!$G$12*MAX(0,(1+Assumptions!$G$11)^2*(1+Assumptions!$G$18)^2*$I14+(1+Assumptions!$G$18)^2*MIN(0.95,Assumptions!$G$22*$B14)*(1-Assumptions!$G$58)*$J14-(1+Assumptions!$G$11)^2*(1+Assumptions!$G$18)^2*MIN(0.95,Assumptions!$G$22*$B14)*$K14-(1+Assumptions!$G$11)^2*($L14+IF(2&lt;3,$M14,0))-$N14)-0</f>
        <v/>
      </c>
      <c r="Y14" s="23">
        <f>(1+Assumptions!$G$11)^3*(1+Assumptions!$G$18)^3*$I14+(1+Assumptions!$G$18)^3*MIN(0.95,Assumptions!$G$23*$B14)*(1-Assumptions!$G$58)*$J14-(1+Assumptions!$G$11)^3*(1+Assumptions!$G$18)^3*MIN(0.95,Assumptions!$G$23*$B14)*$K14-(1+Assumptions!$G$11)^3*($L14+IF(3&lt;3,$M14,0))-Assumptions!$G$12*MAX(0,(1+Assumptions!$G$11)^3*(1+Assumptions!$G$18)^3*$I14+(1+Assumptions!$G$18)^3*MIN(0.95,Assumptions!$G$23*$B14)*(1-Assumptions!$G$58)*$J14-(1+Assumptions!$G$11)^3*(1+Assumptions!$G$18)^3*MIN(0.95,Assumptions!$G$23*$B14)*$K14-(1+Assumptions!$G$11)^3*($L14+IF(3&lt;3,$M14,0))-$N14)-0</f>
        <v/>
      </c>
      <c r="Z14" s="23">
        <f>(1+Assumptions!$G$11)^4*(1+Assumptions!$G$18)^4*$I14+(1+Assumptions!$G$18)^4*MIN(0.95,Assumptions!$G$24*$B14)*(1-Assumptions!$G$58)*$J14-(1+Assumptions!$G$11)^4*(1+Assumptions!$G$18)^4*MIN(0.95,Assumptions!$G$24*$B14)*$K14-(1+Assumptions!$G$11)^4*($L14+IF(4&lt;3,$M14,0))-Assumptions!$G$12*MAX(0,(1+Assumptions!$G$11)^4*(1+Assumptions!$G$18)^4*$I14+(1+Assumptions!$G$18)^4*MIN(0.95,Assumptions!$G$24*$B14)*(1-Assumptions!$G$58)*$J14-(1+Assumptions!$G$11)^4*(1+Assumptions!$G$18)^4*MIN(0.95,Assumptions!$G$24*$B14)*$K14-(1+Assumptions!$G$11)^4*($L14+IF(4&lt;3,$M14,0))-$N14)-0</f>
        <v/>
      </c>
      <c r="AA14" s="23">
        <f>(1+Assumptions!$G$11)^5*(1+Assumptions!$G$18)^5*$I14+(1+Assumptions!$G$18)^5*MIN(0.95,Assumptions!$G$25*$B14)*(1-Assumptions!$G$58)*$J14-(1+Assumptions!$G$11)^5*(1+Assumptions!$G$18)^5*MIN(0.95,Assumptions!$G$25*$B14)*$K14-(1+Assumptions!$G$11)^5*($L14+IF(5&lt;3,$M14,0))-Assumptions!$G$12*MAX(0,(1+Assumptions!$G$11)^5*(1+Assumptions!$G$18)^5*$I14+(1+Assumptions!$G$18)^5*MIN(0.95,Assumptions!$G$25*$B14)*(1-Assumptions!$G$58)*$J14-(1+Assumptions!$G$11)^5*(1+Assumptions!$G$18)^5*MIN(0.95,Assumptions!$G$25*$B14)*$K14-(1+Assumptions!$G$11)^5*($L14+IF(5&lt;3,$M14,0))-$N14)-0</f>
        <v/>
      </c>
      <c r="AB14" s="23">
        <f>(1+Assumptions!$G$11)^6*(1+Assumptions!$G$18)^6*$I14+(1+Assumptions!$G$18)^6*MIN(0.95,Assumptions!$G$26*$B14)*(1-Assumptions!$G$58)*$J14-(1+Assumptions!$G$11)^6*(1+Assumptions!$G$18)^6*MIN(0.95,Assumptions!$G$26*$B14)*$K14-(1+Assumptions!$G$11)^6*($L14+IF(6&lt;3,$M14,0))-Assumptions!$G$12*MAX(0,(1+Assumptions!$G$11)^6*(1+Assumptions!$G$18)^6*$I14+(1+Assumptions!$G$18)^6*MIN(0.95,Assumptions!$G$26*$B14)*(1-Assumptions!$G$58)*$J14-(1+Assumptions!$G$11)^6*(1+Assumptions!$G$18)^6*MIN(0.95,Assumptions!$G$26*$B14)*$K14-(1+Assumptions!$G$11)^6*($L14+IF(6&lt;3,$M14,0))-$N14)-0</f>
        <v/>
      </c>
      <c r="AC14" s="23">
        <f>(1+Assumptions!$G$11)^7*(1+Assumptions!$G$18)^7*$I14+(1+Assumptions!$G$18)^7*MIN(0.95,Assumptions!$G$27*$B14)*(1-Assumptions!$G$58)*$J14-(1+Assumptions!$G$11)^7*(1+Assumptions!$G$18)^7*MIN(0.95,Assumptions!$G$27*$B14)*$K14-(1+Assumptions!$G$11)^7*($L14+IF(7&lt;3,$M14,0))-Assumptions!$G$12*MAX(0,(1+Assumptions!$G$11)^7*(1+Assumptions!$G$18)^7*$I14+(1+Assumptions!$G$18)^7*MIN(0.95,Assumptions!$G$27*$B14)*(1-Assumptions!$G$58)*$J14-(1+Assumptions!$G$11)^7*(1+Assumptions!$G$18)^7*MIN(0.95,Assumptions!$G$27*$B14)*$K14-(1+Assumptions!$G$11)^7*($L14+IF(7&lt;3,$M14,0))-$N14)-0</f>
        <v/>
      </c>
      <c r="AD14" s="23">
        <f>(1+Assumptions!$G$11)^8*(1+Assumptions!$G$18)^8*$I14+(1+Assumptions!$G$18)^8*MIN(0.95,Assumptions!$G$28*$B14)*(1-Assumptions!$G$58)*$J14-(1+Assumptions!$G$11)^8*(1+Assumptions!$G$18)^8*MIN(0.95,Assumptions!$G$28*$B14)*$K14-(1+Assumptions!$G$11)^8*($L14+IF(8&lt;3,$M14,0))-Assumptions!$G$12*MAX(0,(1+Assumptions!$G$11)^8*(1+Assumptions!$G$18)^8*$I14+(1+Assumptions!$G$18)^8*MIN(0.95,Assumptions!$G$28*$B14)*(1-Assumptions!$G$58)*$J14-(1+Assumptions!$G$11)^8*(1+Assumptions!$G$18)^8*MIN(0.95,Assumptions!$G$28*$B14)*$K14-(1+Assumptions!$G$11)^8*($L14+IF(8&lt;3,$M14,0))-$N14)-0</f>
        <v/>
      </c>
      <c r="AE14" s="23">
        <f>(1+Assumptions!$G$11)^9*(1+Assumptions!$G$18)^9*$I14+(1+Assumptions!$G$18)^9*MIN(0.95,Assumptions!$G$29*$B14)*(1-Assumptions!$G$58)*$J14-(1+Assumptions!$G$11)^9*(1+Assumptions!$G$18)^9*MIN(0.95,Assumptions!$G$29*$B14)*$K14-(1+Assumptions!$G$11)^9*($L14+IF(9&lt;3,$M14,0))-Assumptions!$G$12*MAX(0,(1+Assumptions!$G$11)^9*(1+Assumptions!$G$18)^9*$I14+(1+Assumptions!$G$18)^9*MIN(0.95,Assumptions!$G$29*$B14)*(1-Assumptions!$G$58)*$J14-(1+Assumptions!$G$11)^9*(1+Assumptions!$G$18)^9*MIN(0.95,Assumptions!$G$29*$B14)*$K14-(1+Assumptions!$G$11)^9*($L14+IF(9&lt;3,$M14,0))-$N14)-0</f>
        <v/>
      </c>
      <c r="AG14" s="19">
        <f>IFERROR(IRR(T14:AE14),"n.m.")</f>
        <v/>
      </c>
      <c r="AH14" s="33">
        <f>IFERROR((AG14-AG$6)*100,"n.m.")</f>
        <v/>
      </c>
    </row>
    <row r="15">
      <c r="A15" s="9" t="inlineStr">
        <is>
          <t>RVM capex +30%</t>
        </is>
      </c>
      <c r="B15" s="32" t="n">
        <v>1</v>
      </c>
      <c r="C15" s="32" t="n">
        <v>1</v>
      </c>
      <c r="D15" s="32" t="n">
        <v>1</v>
      </c>
      <c r="E15" s="32" t="n">
        <v>1</v>
      </c>
      <c r="F15" s="32" t="n">
        <v>1.3</v>
      </c>
      <c r="G15" s="32" t="n">
        <v>1</v>
      </c>
      <c r="I15" s="23">
        <f>$C15*(Assumptions!$G$15*Assumptions!$G$60+Assumptions!$G$16*Assumptions!$G$61+Assumptions!$G$17*Assumptions!$G$62)*1000</f>
        <v/>
      </c>
      <c r="J15" s="23">
        <f>(Assumptions!$G$15*Assumptions!$G$67*Assumptions!$G$64*Assumptions!$G$7*$D15+Assumptions!$G$16*Assumptions!$G$68*Assumptions!$G$65*Assumptions!$G$7*$E15+Assumptions!$G$17*Assumptions!$G$69*Assumptions!$G$66)/1000</f>
        <v/>
      </c>
      <c r="K15" s="23">
        <f>(Assumptions!$G$15+Assumptions!$G$16+Assumptions!$G$17)*(Assumptions!$G$48+Assumptions!$G$49+Assumptions!$G$50+Assumptions!$G$51)*$G15*1000</f>
        <v/>
      </c>
      <c r="L15" s="23">
        <f>Assumptions!$G$53+Assumptions!$G$54+Assumptions!$G$56+Assumptions!$G$57+Assumptions!$G$31*Assumptions!$G$52/1000000</f>
        <v/>
      </c>
      <c r="M15" s="23">
        <f>Assumptions!$G$55-Assumptions!$G$56</f>
        <v/>
      </c>
      <c r="N15" s="25">
        <f>Assumptions!$G$31*Assumptions!$G$32/1000000*$F15*(1+Assumptions!$G$43)/Assumptions!$G$33+3*Assumptions!$G$35*(1+Assumptions!$G$43)/Assumptions!$G$36+Assumptions!$G$37*(1+Assumptions!$G$43)/Assumptions!$G$38+Assumptions!$G$39*(1+Assumptions!$G$43)/Assumptions!$G$40+Assumptions!$G$41/Assumptions!$G$42</f>
        <v/>
      </c>
      <c r="O15" s="25">
        <f>0.5*Assumptions!$G$37+0.55*Assumptions!$G$41+Assumptions!$G$43*0.5*Assumptions!$G$37</f>
        <v/>
      </c>
      <c r="P15" s="25">
        <f>0.34*Assumptions!$G$31*Assumptions!$G$32/1000000*$F15+Assumptions!$G$35+0.5*Assumptions!$G$37+0.6*Assumptions!$G$39+0.45*Assumptions!$G$41+Assumptions!$G$43*(0.34*Assumptions!$G$31*Assumptions!$G$32/1000000*$F15+Assumptions!$G$35+0.5*Assumptions!$G$37+0.6*Assumptions!$G$39)</f>
        <v/>
      </c>
      <c r="Q15" s="25">
        <f>0.43*Assumptions!$G$31*Assumptions!$G$32/1000000*$F15+2*Assumptions!$G$35+0.4*Assumptions!$G$39+Assumptions!$G$43*(0.43*Assumptions!$G$31*Assumptions!$G$32/1000000*$F15+2*Assumptions!$G$35+0.4*Assumptions!$G$39)</f>
        <v/>
      </c>
      <c r="R15" s="25">
        <f>0.23*Assumptions!$G$31*Assumptions!$G$32/1000000*$F15*(1+Assumptions!$G$43)</f>
        <v/>
      </c>
      <c r="T15" s="23">
        <f>-O15</f>
        <v/>
      </c>
      <c r="U15" s="23">
        <f>-P15</f>
        <v/>
      </c>
      <c r="V15" s="23">
        <f>(1+Assumptions!$G$11)^0*(1+Assumptions!$G$18)^0*$I15+(1+Assumptions!$G$18)^0*MIN(0.95,Assumptions!$G$20*$B15)*(1-Assumptions!$G$58)*$J15-(1+Assumptions!$G$11)^0*(1+Assumptions!$G$18)^0*MIN(0.95,Assumptions!$G$20*$B15)*$K15-(1+Assumptions!$G$11)^0*($L15+IF(0&lt;3,$M15,0))-Assumptions!$G$12*MAX(0,(1+Assumptions!$G$11)^0*(1+Assumptions!$G$18)^0*$I15+(1+Assumptions!$G$18)^0*MIN(0.95,Assumptions!$G$20*$B15)*(1-Assumptions!$G$58)*$J15-(1+Assumptions!$G$11)^0*(1+Assumptions!$G$18)^0*MIN(0.95,Assumptions!$G$20*$B15)*$K15-(1+Assumptions!$G$11)^0*($L15+IF(0&lt;3,$M15,0))-$N15)-$Q15</f>
        <v/>
      </c>
      <c r="W15" s="23">
        <f>(1+Assumptions!$G$11)^1*(1+Assumptions!$G$18)^1*$I15+(1+Assumptions!$G$18)^1*MIN(0.95,Assumptions!$G$21*$B15)*(1-Assumptions!$G$58)*$J15-(1+Assumptions!$G$11)^1*(1+Assumptions!$G$18)^1*MIN(0.95,Assumptions!$G$21*$B15)*$K15-(1+Assumptions!$G$11)^1*($L15+IF(1&lt;3,$M15,0))-Assumptions!$G$12*MAX(0,(1+Assumptions!$G$11)^1*(1+Assumptions!$G$18)^1*$I15+(1+Assumptions!$G$18)^1*MIN(0.95,Assumptions!$G$21*$B15)*(1-Assumptions!$G$58)*$J15-(1+Assumptions!$G$11)^1*(1+Assumptions!$G$18)^1*MIN(0.95,Assumptions!$G$21*$B15)*$K15-(1+Assumptions!$G$11)^1*($L15+IF(1&lt;3,$M15,0))-$N15)-$R15</f>
        <v/>
      </c>
      <c r="X15" s="23">
        <f>(1+Assumptions!$G$11)^2*(1+Assumptions!$G$18)^2*$I15+(1+Assumptions!$G$18)^2*MIN(0.95,Assumptions!$G$22*$B15)*(1-Assumptions!$G$58)*$J15-(1+Assumptions!$G$11)^2*(1+Assumptions!$G$18)^2*MIN(0.95,Assumptions!$G$22*$B15)*$K15-(1+Assumptions!$G$11)^2*($L15+IF(2&lt;3,$M15,0))-Assumptions!$G$12*MAX(0,(1+Assumptions!$G$11)^2*(1+Assumptions!$G$18)^2*$I15+(1+Assumptions!$G$18)^2*MIN(0.95,Assumptions!$G$22*$B15)*(1-Assumptions!$G$58)*$J15-(1+Assumptions!$G$11)^2*(1+Assumptions!$G$18)^2*MIN(0.95,Assumptions!$G$22*$B15)*$K15-(1+Assumptions!$G$11)^2*($L15+IF(2&lt;3,$M15,0))-$N15)-0</f>
        <v/>
      </c>
      <c r="Y15" s="23">
        <f>(1+Assumptions!$G$11)^3*(1+Assumptions!$G$18)^3*$I15+(1+Assumptions!$G$18)^3*MIN(0.95,Assumptions!$G$23*$B15)*(1-Assumptions!$G$58)*$J15-(1+Assumptions!$G$11)^3*(1+Assumptions!$G$18)^3*MIN(0.95,Assumptions!$G$23*$B15)*$K15-(1+Assumptions!$G$11)^3*($L15+IF(3&lt;3,$M15,0))-Assumptions!$G$12*MAX(0,(1+Assumptions!$G$11)^3*(1+Assumptions!$G$18)^3*$I15+(1+Assumptions!$G$18)^3*MIN(0.95,Assumptions!$G$23*$B15)*(1-Assumptions!$G$58)*$J15-(1+Assumptions!$G$11)^3*(1+Assumptions!$G$18)^3*MIN(0.95,Assumptions!$G$23*$B15)*$K15-(1+Assumptions!$G$11)^3*($L15+IF(3&lt;3,$M15,0))-$N15)-0</f>
        <v/>
      </c>
      <c r="Z15" s="23">
        <f>(1+Assumptions!$G$11)^4*(1+Assumptions!$G$18)^4*$I15+(1+Assumptions!$G$18)^4*MIN(0.95,Assumptions!$G$24*$B15)*(1-Assumptions!$G$58)*$J15-(1+Assumptions!$G$11)^4*(1+Assumptions!$G$18)^4*MIN(0.95,Assumptions!$G$24*$B15)*$K15-(1+Assumptions!$G$11)^4*($L15+IF(4&lt;3,$M15,0))-Assumptions!$G$12*MAX(0,(1+Assumptions!$G$11)^4*(1+Assumptions!$G$18)^4*$I15+(1+Assumptions!$G$18)^4*MIN(0.95,Assumptions!$G$24*$B15)*(1-Assumptions!$G$58)*$J15-(1+Assumptions!$G$11)^4*(1+Assumptions!$G$18)^4*MIN(0.95,Assumptions!$G$24*$B15)*$K15-(1+Assumptions!$G$11)^4*($L15+IF(4&lt;3,$M15,0))-$N15)-0</f>
        <v/>
      </c>
      <c r="AA15" s="23">
        <f>(1+Assumptions!$G$11)^5*(1+Assumptions!$G$18)^5*$I15+(1+Assumptions!$G$18)^5*MIN(0.95,Assumptions!$G$25*$B15)*(1-Assumptions!$G$58)*$J15-(1+Assumptions!$G$11)^5*(1+Assumptions!$G$18)^5*MIN(0.95,Assumptions!$G$25*$B15)*$K15-(1+Assumptions!$G$11)^5*($L15+IF(5&lt;3,$M15,0))-Assumptions!$G$12*MAX(0,(1+Assumptions!$G$11)^5*(1+Assumptions!$G$18)^5*$I15+(1+Assumptions!$G$18)^5*MIN(0.95,Assumptions!$G$25*$B15)*(1-Assumptions!$G$58)*$J15-(1+Assumptions!$G$11)^5*(1+Assumptions!$G$18)^5*MIN(0.95,Assumptions!$G$25*$B15)*$K15-(1+Assumptions!$G$11)^5*($L15+IF(5&lt;3,$M15,0))-$N15)-0</f>
        <v/>
      </c>
      <c r="AB15" s="23">
        <f>(1+Assumptions!$G$11)^6*(1+Assumptions!$G$18)^6*$I15+(1+Assumptions!$G$18)^6*MIN(0.95,Assumptions!$G$26*$B15)*(1-Assumptions!$G$58)*$J15-(1+Assumptions!$G$11)^6*(1+Assumptions!$G$18)^6*MIN(0.95,Assumptions!$G$26*$B15)*$K15-(1+Assumptions!$G$11)^6*($L15+IF(6&lt;3,$M15,0))-Assumptions!$G$12*MAX(0,(1+Assumptions!$G$11)^6*(1+Assumptions!$G$18)^6*$I15+(1+Assumptions!$G$18)^6*MIN(0.95,Assumptions!$G$26*$B15)*(1-Assumptions!$G$58)*$J15-(1+Assumptions!$G$11)^6*(1+Assumptions!$G$18)^6*MIN(0.95,Assumptions!$G$26*$B15)*$K15-(1+Assumptions!$G$11)^6*($L15+IF(6&lt;3,$M15,0))-$N15)-0</f>
        <v/>
      </c>
      <c r="AC15" s="23">
        <f>(1+Assumptions!$G$11)^7*(1+Assumptions!$G$18)^7*$I15+(1+Assumptions!$G$18)^7*MIN(0.95,Assumptions!$G$27*$B15)*(1-Assumptions!$G$58)*$J15-(1+Assumptions!$G$11)^7*(1+Assumptions!$G$18)^7*MIN(0.95,Assumptions!$G$27*$B15)*$K15-(1+Assumptions!$G$11)^7*($L15+IF(7&lt;3,$M15,0))-Assumptions!$G$12*MAX(0,(1+Assumptions!$G$11)^7*(1+Assumptions!$G$18)^7*$I15+(1+Assumptions!$G$18)^7*MIN(0.95,Assumptions!$G$27*$B15)*(1-Assumptions!$G$58)*$J15-(1+Assumptions!$G$11)^7*(1+Assumptions!$G$18)^7*MIN(0.95,Assumptions!$G$27*$B15)*$K15-(1+Assumptions!$G$11)^7*($L15+IF(7&lt;3,$M15,0))-$N15)-0</f>
        <v/>
      </c>
      <c r="AD15" s="23">
        <f>(1+Assumptions!$G$11)^8*(1+Assumptions!$G$18)^8*$I15+(1+Assumptions!$G$18)^8*MIN(0.95,Assumptions!$G$28*$B15)*(1-Assumptions!$G$58)*$J15-(1+Assumptions!$G$11)^8*(1+Assumptions!$G$18)^8*MIN(0.95,Assumptions!$G$28*$B15)*$K15-(1+Assumptions!$G$11)^8*($L15+IF(8&lt;3,$M15,0))-Assumptions!$G$12*MAX(0,(1+Assumptions!$G$11)^8*(1+Assumptions!$G$18)^8*$I15+(1+Assumptions!$G$18)^8*MIN(0.95,Assumptions!$G$28*$B15)*(1-Assumptions!$G$58)*$J15-(1+Assumptions!$G$11)^8*(1+Assumptions!$G$18)^8*MIN(0.95,Assumptions!$G$28*$B15)*$K15-(1+Assumptions!$G$11)^8*($L15+IF(8&lt;3,$M15,0))-$N15)-0</f>
        <v/>
      </c>
      <c r="AE15" s="23">
        <f>(1+Assumptions!$G$11)^9*(1+Assumptions!$G$18)^9*$I15+(1+Assumptions!$G$18)^9*MIN(0.95,Assumptions!$G$29*$B15)*(1-Assumptions!$G$58)*$J15-(1+Assumptions!$G$11)^9*(1+Assumptions!$G$18)^9*MIN(0.95,Assumptions!$G$29*$B15)*$K15-(1+Assumptions!$G$11)^9*($L15+IF(9&lt;3,$M15,0))-Assumptions!$G$12*MAX(0,(1+Assumptions!$G$11)^9*(1+Assumptions!$G$18)^9*$I15+(1+Assumptions!$G$18)^9*MIN(0.95,Assumptions!$G$29*$B15)*(1-Assumptions!$G$58)*$J15-(1+Assumptions!$G$11)^9*(1+Assumptions!$G$18)^9*MIN(0.95,Assumptions!$G$29*$B15)*$K15-(1+Assumptions!$G$11)^9*($L15+IF(9&lt;3,$M15,0))-$N15)-0</f>
        <v/>
      </c>
      <c r="AG15" s="19">
        <f>IFERROR(IRR(T15:AE15),"n.m.")</f>
        <v/>
      </c>
      <c r="AH15" s="33">
        <f>IFERROR((AG15-AG$6)*100,"n.m.")</f>
        <v/>
      </c>
    </row>
    <row r="16">
      <c r="A16" s="9" t="inlineStr">
        <is>
          <t>RVM capex −30%</t>
        </is>
      </c>
      <c r="B16" s="32" t="n">
        <v>1</v>
      </c>
      <c r="C16" s="32" t="n">
        <v>1</v>
      </c>
      <c r="D16" s="32" t="n">
        <v>1</v>
      </c>
      <c r="E16" s="32" t="n">
        <v>1</v>
      </c>
      <c r="F16" s="32" t="n">
        <v>0.7</v>
      </c>
      <c r="G16" s="32" t="n">
        <v>1</v>
      </c>
      <c r="I16" s="23">
        <f>$C16*(Assumptions!$G$15*Assumptions!$G$60+Assumptions!$G$16*Assumptions!$G$61+Assumptions!$G$17*Assumptions!$G$62)*1000</f>
        <v/>
      </c>
      <c r="J16" s="23">
        <f>(Assumptions!$G$15*Assumptions!$G$67*Assumptions!$G$64*Assumptions!$G$7*$D16+Assumptions!$G$16*Assumptions!$G$68*Assumptions!$G$65*Assumptions!$G$7*$E16+Assumptions!$G$17*Assumptions!$G$69*Assumptions!$G$66)/1000</f>
        <v/>
      </c>
      <c r="K16" s="23">
        <f>(Assumptions!$G$15+Assumptions!$G$16+Assumptions!$G$17)*(Assumptions!$G$48+Assumptions!$G$49+Assumptions!$G$50+Assumptions!$G$51)*$G16*1000</f>
        <v/>
      </c>
      <c r="L16" s="23">
        <f>Assumptions!$G$53+Assumptions!$G$54+Assumptions!$G$56+Assumptions!$G$57+Assumptions!$G$31*Assumptions!$G$52/1000000</f>
        <v/>
      </c>
      <c r="M16" s="23">
        <f>Assumptions!$G$55-Assumptions!$G$56</f>
        <v/>
      </c>
      <c r="N16" s="25">
        <f>Assumptions!$G$31*Assumptions!$G$32/1000000*$F16*(1+Assumptions!$G$43)/Assumptions!$G$33+3*Assumptions!$G$35*(1+Assumptions!$G$43)/Assumptions!$G$36+Assumptions!$G$37*(1+Assumptions!$G$43)/Assumptions!$G$38+Assumptions!$G$39*(1+Assumptions!$G$43)/Assumptions!$G$40+Assumptions!$G$41/Assumptions!$G$42</f>
        <v/>
      </c>
      <c r="O16" s="25">
        <f>0.5*Assumptions!$G$37+0.55*Assumptions!$G$41+Assumptions!$G$43*0.5*Assumptions!$G$37</f>
        <v/>
      </c>
      <c r="P16" s="25">
        <f>0.34*Assumptions!$G$31*Assumptions!$G$32/1000000*$F16+Assumptions!$G$35+0.5*Assumptions!$G$37+0.6*Assumptions!$G$39+0.45*Assumptions!$G$41+Assumptions!$G$43*(0.34*Assumptions!$G$31*Assumptions!$G$32/1000000*$F16+Assumptions!$G$35+0.5*Assumptions!$G$37+0.6*Assumptions!$G$39)</f>
        <v/>
      </c>
      <c r="Q16" s="25">
        <f>0.43*Assumptions!$G$31*Assumptions!$G$32/1000000*$F16+2*Assumptions!$G$35+0.4*Assumptions!$G$39+Assumptions!$G$43*(0.43*Assumptions!$G$31*Assumptions!$G$32/1000000*$F16+2*Assumptions!$G$35+0.4*Assumptions!$G$39)</f>
        <v/>
      </c>
      <c r="R16" s="25">
        <f>0.23*Assumptions!$G$31*Assumptions!$G$32/1000000*$F16*(1+Assumptions!$G$43)</f>
        <v/>
      </c>
      <c r="T16" s="23">
        <f>-O16</f>
        <v/>
      </c>
      <c r="U16" s="23">
        <f>-P16</f>
        <v/>
      </c>
      <c r="V16" s="23">
        <f>(1+Assumptions!$G$11)^0*(1+Assumptions!$G$18)^0*$I16+(1+Assumptions!$G$18)^0*MIN(0.95,Assumptions!$G$20*$B16)*(1-Assumptions!$G$58)*$J16-(1+Assumptions!$G$11)^0*(1+Assumptions!$G$18)^0*MIN(0.95,Assumptions!$G$20*$B16)*$K16-(1+Assumptions!$G$11)^0*($L16+IF(0&lt;3,$M16,0))-Assumptions!$G$12*MAX(0,(1+Assumptions!$G$11)^0*(1+Assumptions!$G$18)^0*$I16+(1+Assumptions!$G$18)^0*MIN(0.95,Assumptions!$G$20*$B16)*(1-Assumptions!$G$58)*$J16-(1+Assumptions!$G$11)^0*(1+Assumptions!$G$18)^0*MIN(0.95,Assumptions!$G$20*$B16)*$K16-(1+Assumptions!$G$11)^0*($L16+IF(0&lt;3,$M16,0))-$N16)-$Q16</f>
        <v/>
      </c>
      <c r="W16" s="23">
        <f>(1+Assumptions!$G$11)^1*(1+Assumptions!$G$18)^1*$I16+(1+Assumptions!$G$18)^1*MIN(0.95,Assumptions!$G$21*$B16)*(1-Assumptions!$G$58)*$J16-(1+Assumptions!$G$11)^1*(1+Assumptions!$G$18)^1*MIN(0.95,Assumptions!$G$21*$B16)*$K16-(1+Assumptions!$G$11)^1*($L16+IF(1&lt;3,$M16,0))-Assumptions!$G$12*MAX(0,(1+Assumptions!$G$11)^1*(1+Assumptions!$G$18)^1*$I16+(1+Assumptions!$G$18)^1*MIN(0.95,Assumptions!$G$21*$B16)*(1-Assumptions!$G$58)*$J16-(1+Assumptions!$G$11)^1*(1+Assumptions!$G$18)^1*MIN(0.95,Assumptions!$G$21*$B16)*$K16-(1+Assumptions!$G$11)^1*($L16+IF(1&lt;3,$M16,0))-$N16)-$R16</f>
        <v/>
      </c>
      <c r="X16" s="23">
        <f>(1+Assumptions!$G$11)^2*(1+Assumptions!$G$18)^2*$I16+(1+Assumptions!$G$18)^2*MIN(0.95,Assumptions!$G$22*$B16)*(1-Assumptions!$G$58)*$J16-(1+Assumptions!$G$11)^2*(1+Assumptions!$G$18)^2*MIN(0.95,Assumptions!$G$22*$B16)*$K16-(1+Assumptions!$G$11)^2*($L16+IF(2&lt;3,$M16,0))-Assumptions!$G$12*MAX(0,(1+Assumptions!$G$11)^2*(1+Assumptions!$G$18)^2*$I16+(1+Assumptions!$G$18)^2*MIN(0.95,Assumptions!$G$22*$B16)*(1-Assumptions!$G$58)*$J16-(1+Assumptions!$G$11)^2*(1+Assumptions!$G$18)^2*MIN(0.95,Assumptions!$G$22*$B16)*$K16-(1+Assumptions!$G$11)^2*($L16+IF(2&lt;3,$M16,0))-$N16)-0</f>
        <v/>
      </c>
      <c r="Y16" s="23">
        <f>(1+Assumptions!$G$11)^3*(1+Assumptions!$G$18)^3*$I16+(1+Assumptions!$G$18)^3*MIN(0.95,Assumptions!$G$23*$B16)*(1-Assumptions!$G$58)*$J16-(1+Assumptions!$G$11)^3*(1+Assumptions!$G$18)^3*MIN(0.95,Assumptions!$G$23*$B16)*$K16-(1+Assumptions!$G$11)^3*($L16+IF(3&lt;3,$M16,0))-Assumptions!$G$12*MAX(0,(1+Assumptions!$G$11)^3*(1+Assumptions!$G$18)^3*$I16+(1+Assumptions!$G$18)^3*MIN(0.95,Assumptions!$G$23*$B16)*(1-Assumptions!$G$58)*$J16-(1+Assumptions!$G$11)^3*(1+Assumptions!$G$18)^3*MIN(0.95,Assumptions!$G$23*$B16)*$K16-(1+Assumptions!$G$11)^3*($L16+IF(3&lt;3,$M16,0))-$N16)-0</f>
        <v/>
      </c>
      <c r="Z16" s="23">
        <f>(1+Assumptions!$G$11)^4*(1+Assumptions!$G$18)^4*$I16+(1+Assumptions!$G$18)^4*MIN(0.95,Assumptions!$G$24*$B16)*(1-Assumptions!$G$58)*$J16-(1+Assumptions!$G$11)^4*(1+Assumptions!$G$18)^4*MIN(0.95,Assumptions!$G$24*$B16)*$K16-(1+Assumptions!$G$11)^4*($L16+IF(4&lt;3,$M16,0))-Assumptions!$G$12*MAX(0,(1+Assumptions!$G$11)^4*(1+Assumptions!$G$18)^4*$I16+(1+Assumptions!$G$18)^4*MIN(0.95,Assumptions!$G$24*$B16)*(1-Assumptions!$G$58)*$J16-(1+Assumptions!$G$11)^4*(1+Assumptions!$G$18)^4*MIN(0.95,Assumptions!$G$24*$B16)*$K16-(1+Assumptions!$G$11)^4*($L16+IF(4&lt;3,$M16,0))-$N16)-0</f>
        <v/>
      </c>
      <c r="AA16" s="23">
        <f>(1+Assumptions!$G$11)^5*(1+Assumptions!$G$18)^5*$I16+(1+Assumptions!$G$18)^5*MIN(0.95,Assumptions!$G$25*$B16)*(1-Assumptions!$G$58)*$J16-(1+Assumptions!$G$11)^5*(1+Assumptions!$G$18)^5*MIN(0.95,Assumptions!$G$25*$B16)*$K16-(1+Assumptions!$G$11)^5*($L16+IF(5&lt;3,$M16,0))-Assumptions!$G$12*MAX(0,(1+Assumptions!$G$11)^5*(1+Assumptions!$G$18)^5*$I16+(1+Assumptions!$G$18)^5*MIN(0.95,Assumptions!$G$25*$B16)*(1-Assumptions!$G$58)*$J16-(1+Assumptions!$G$11)^5*(1+Assumptions!$G$18)^5*MIN(0.95,Assumptions!$G$25*$B16)*$K16-(1+Assumptions!$G$11)^5*($L16+IF(5&lt;3,$M16,0))-$N16)-0</f>
        <v/>
      </c>
      <c r="AB16" s="23">
        <f>(1+Assumptions!$G$11)^6*(1+Assumptions!$G$18)^6*$I16+(1+Assumptions!$G$18)^6*MIN(0.95,Assumptions!$G$26*$B16)*(1-Assumptions!$G$58)*$J16-(1+Assumptions!$G$11)^6*(1+Assumptions!$G$18)^6*MIN(0.95,Assumptions!$G$26*$B16)*$K16-(1+Assumptions!$G$11)^6*($L16+IF(6&lt;3,$M16,0))-Assumptions!$G$12*MAX(0,(1+Assumptions!$G$11)^6*(1+Assumptions!$G$18)^6*$I16+(1+Assumptions!$G$18)^6*MIN(0.95,Assumptions!$G$26*$B16)*(1-Assumptions!$G$58)*$J16-(1+Assumptions!$G$11)^6*(1+Assumptions!$G$18)^6*MIN(0.95,Assumptions!$G$26*$B16)*$K16-(1+Assumptions!$G$11)^6*($L16+IF(6&lt;3,$M16,0))-$N16)-0</f>
        <v/>
      </c>
      <c r="AC16" s="23">
        <f>(1+Assumptions!$G$11)^7*(1+Assumptions!$G$18)^7*$I16+(1+Assumptions!$G$18)^7*MIN(0.95,Assumptions!$G$27*$B16)*(1-Assumptions!$G$58)*$J16-(1+Assumptions!$G$11)^7*(1+Assumptions!$G$18)^7*MIN(0.95,Assumptions!$G$27*$B16)*$K16-(1+Assumptions!$G$11)^7*($L16+IF(7&lt;3,$M16,0))-Assumptions!$G$12*MAX(0,(1+Assumptions!$G$11)^7*(1+Assumptions!$G$18)^7*$I16+(1+Assumptions!$G$18)^7*MIN(0.95,Assumptions!$G$27*$B16)*(1-Assumptions!$G$58)*$J16-(1+Assumptions!$G$11)^7*(1+Assumptions!$G$18)^7*MIN(0.95,Assumptions!$G$27*$B16)*$K16-(1+Assumptions!$G$11)^7*($L16+IF(7&lt;3,$M16,0))-$N16)-0</f>
        <v/>
      </c>
      <c r="AD16" s="23">
        <f>(1+Assumptions!$G$11)^8*(1+Assumptions!$G$18)^8*$I16+(1+Assumptions!$G$18)^8*MIN(0.95,Assumptions!$G$28*$B16)*(1-Assumptions!$G$58)*$J16-(1+Assumptions!$G$11)^8*(1+Assumptions!$G$18)^8*MIN(0.95,Assumptions!$G$28*$B16)*$K16-(1+Assumptions!$G$11)^8*($L16+IF(8&lt;3,$M16,0))-Assumptions!$G$12*MAX(0,(1+Assumptions!$G$11)^8*(1+Assumptions!$G$18)^8*$I16+(1+Assumptions!$G$18)^8*MIN(0.95,Assumptions!$G$28*$B16)*(1-Assumptions!$G$58)*$J16-(1+Assumptions!$G$11)^8*(1+Assumptions!$G$18)^8*MIN(0.95,Assumptions!$G$28*$B16)*$K16-(1+Assumptions!$G$11)^8*($L16+IF(8&lt;3,$M16,0))-$N16)-0</f>
        <v/>
      </c>
      <c r="AE16" s="23">
        <f>(1+Assumptions!$G$11)^9*(1+Assumptions!$G$18)^9*$I16+(1+Assumptions!$G$18)^9*MIN(0.95,Assumptions!$G$29*$B16)*(1-Assumptions!$G$58)*$J16-(1+Assumptions!$G$11)^9*(1+Assumptions!$G$18)^9*MIN(0.95,Assumptions!$G$29*$B16)*$K16-(1+Assumptions!$G$11)^9*($L16+IF(9&lt;3,$M16,0))-Assumptions!$G$12*MAX(0,(1+Assumptions!$G$11)^9*(1+Assumptions!$G$18)^9*$I16+(1+Assumptions!$G$18)^9*MIN(0.95,Assumptions!$G$29*$B16)*(1-Assumptions!$G$58)*$J16-(1+Assumptions!$G$11)^9*(1+Assumptions!$G$18)^9*MIN(0.95,Assumptions!$G$29*$B16)*$K16-(1+Assumptions!$G$11)^9*($L16+IF(9&lt;3,$M16,0))-$N16)-0</f>
        <v/>
      </c>
      <c r="AG16" s="19">
        <f>IFERROR(IRR(T16:AE16),"n.m.")</f>
        <v/>
      </c>
      <c r="AH16" s="33">
        <f>IFERROR((AG16-AG$6)*100,"n.m.")</f>
        <v/>
      </c>
    </row>
    <row r="17">
      <c r="A17" s="9" t="inlineStr">
        <is>
          <t>Variable cost +15%</t>
        </is>
      </c>
      <c r="B17" s="32" t="n">
        <v>1</v>
      </c>
      <c r="C17" s="32" t="n">
        <v>1</v>
      </c>
      <c r="D17" s="32" t="n">
        <v>1</v>
      </c>
      <c r="E17" s="32" t="n">
        <v>1</v>
      </c>
      <c r="F17" s="32" t="n">
        <v>1</v>
      </c>
      <c r="G17" s="32" t="n">
        <v>1.15</v>
      </c>
      <c r="I17" s="23">
        <f>$C17*(Assumptions!$G$15*Assumptions!$G$60+Assumptions!$G$16*Assumptions!$G$61+Assumptions!$G$17*Assumptions!$G$62)*1000</f>
        <v/>
      </c>
      <c r="J17" s="23">
        <f>(Assumptions!$G$15*Assumptions!$G$67*Assumptions!$G$64*Assumptions!$G$7*$D17+Assumptions!$G$16*Assumptions!$G$68*Assumptions!$G$65*Assumptions!$G$7*$E17+Assumptions!$G$17*Assumptions!$G$69*Assumptions!$G$66)/1000</f>
        <v/>
      </c>
      <c r="K17" s="23">
        <f>(Assumptions!$G$15+Assumptions!$G$16+Assumptions!$G$17)*(Assumptions!$G$48+Assumptions!$G$49+Assumptions!$G$50+Assumptions!$G$51)*$G17*1000</f>
        <v/>
      </c>
      <c r="L17" s="23">
        <f>Assumptions!$G$53+Assumptions!$G$54+Assumptions!$G$56+Assumptions!$G$57+Assumptions!$G$31*Assumptions!$G$52/1000000</f>
        <v/>
      </c>
      <c r="M17" s="23">
        <f>Assumptions!$G$55-Assumptions!$G$56</f>
        <v/>
      </c>
      <c r="N17" s="25">
        <f>Assumptions!$G$31*Assumptions!$G$32/1000000*$F17*(1+Assumptions!$G$43)/Assumptions!$G$33+3*Assumptions!$G$35*(1+Assumptions!$G$43)/Assumptions!$G$36+Assumptions!$G$37*(1+Assumptions!$G$43)/Assumptions!$G$38+Assumptions!$G$39*(1+Assumptions!$G$43)/Assumptions!$G$40+Assumptions!$G$41/Assumptions!$G$42</f>
        <v/>
      </c>
      <c r="O17" s="25">
        <f>0.5*Assumptions!$G$37+0.55*Assumptions!$G$41+Assumptions!$G$43*0.5*Assumptions!$G$37</f>
        <v/>
      </c>
      <c r="P17" s="25">
        <f>0.34*Assumptions!$G$31*Assumptions!$G$32/1000000*$F17+Assumptions!$G$35+0.5*Assumptions!$G$37+0.6*Assumptions!$G$39+0.45*Assumptions!$G$41+Assumptions!$G$43*(0.34*Assumptions!$G$31*Assumptions!$G$32/1000000*$F17+Assumptions!$G$35+0.5*Assumptions!$G$37+0.6*Assumptions!$G$39)</f>
        <v/>
      </c>
      <c r="Q17" s="25">
        <f>0.43*Assumptions!$G$31*Assumptions!$G$32/1000000*$F17+2*Assumptions!$G$35+0.4*Assumptions!$G$39+Assumptions!$G$43*(0.43*Assumptions!$G$31*Assumptions!$G$32/1000000*$F17+2*Assumptions!$G$35+0.4*Assumptions!$G$39)</f>
        <v/>
      </c>
      <c r="R17" s="25">
        <f>0.23*Assumptions!$G$31*Assumptions!$G$32/1000000*$F17*(1+Assumptions!$G$43)</f>
        <v/>
      </c>
      <c r="T17" s="23">
        <f>-O17</f>
        <v/>
      </c>
      <c r="U17" s="23">
        <f>-P17</f>
        <v/>
      </c>
      <c r="V17" s="23">
        <f>(1+Assumptions!$G$11)^0*(1+Assumptions!$G$18)^0*$I17+(1+Assumptions!$G$18)^0*MIN(0.95,Assumptions!$G$20*$B17)*(1-Assumptions!$G$58)*$J17-(1+Assumptions!$G$11)^0*(1+Assumptions!$G$18)^0*MIN(0.95,Assumptions!$G$20*$B17)*$K17-(1+Assumptions!$G$11)^0*($L17+IF(0&lt;3,$M17,0))-Assumptions!$G$12*MAX(0,(1+Assumptions!$G$11)^0*(1+Assumptions!$G$18)^0*$I17+(1+Assumptions!$G$18)^0*MIN(0.95,Assumptions!$G$20*$B17)*(1-Assumptions!$G$58)*$J17-(1+Assumptions!$G$11)^0*(1+Assumptions!$G$18)^0*MIN(0.95,Assumptions!$G$20*$B17)*$K17-(1+Assumptions!$G$11)^0*($L17+IF(0&lt;3,$M17,0))-$N17)-$Q17</f>
        <v/>
      </c>
      <c r="W17" s="23">
        <f>(1+Assumptions!$G$11)^1*(1+Assumptions!$G$18)^1*$I17+(1+Assumptions!$G$18)^1*MIN(0.95,Assumptions!$G$21*$B17)*(1-Assumptions!$G$58)*$J17-(1+Assumptions!$G$11)^1*(1+Assumptions!$G$18)^1*MIN(0.95,Assumptions!$G$21*$B17)*$K17-(1+Assumptions!$G$11)^1*($L17+IF(1&lt;3,$M17,0))-Assumptions!$G$12*MAX(0,(1+Assumptions!$G$11)^1*(1+Assumptions!$G$18)^1*$I17+(1+Assumptions!$G$18)^1*MIN(0.95,Assumptions!$G$21*$B17)*(1-Assumptions!$G$58)*$J17-(1+Assumptions!$G$11)^1*(1+Assumptions!$G$18)^1*MIN(0.95,Assumptions!$G$21*$B17)*$K17-(1+Assumptions!$G$11)^1*($L17+IF(1&lt;3,$M17,0))-$N17)-$R17</f>
        <v/>
      </c>
      <c r="X17" s="23">
        <f>(1+Assumptions!$G$11)^2*(1+Assumptions!$G$18)^2*$I17+(1+Assumptions!$G$18)^2*MIN(0.95,Assumptions!$G$22*$B17)*(1-Assumptions!$G$58)*$J17-(1+Assumptions!$G$11)^2*(1+Assumptions!$G$18)^2*MIN(0.95,Assumptions!$G$22*$B17)*$K17-(1+Assumptions!$G$11)^2*($L17+IF(2&lt;3,$M17,0))-Assumptions!$G$12*MAX(0,(1+Assumptions!$G$11)^2*(1+Assumptions!$G$18)^2*$I17+(1+Assumptions!$G$18)^2*MIN(0.95,Assumptions!$G$22*$B17)*(1-Assumptions!$G$58)*$J17-(1+Assumptions!$G$11)^2*(1+Assumptions!$G$18)^2*MIN(0.95,Assumptions!$G$22*$B17)*$K17-(1+Assumptions!$G$11)^2*($L17+IF(2&lt;3,$M17,0))-$N17)-0</f>
        <v/>
      </c>
      <c r="Y17" s="23">
        <f>(1+Assumptions!$G$11)^3*(1+Assumptions!$G$18)^3*$I17+(1+Assumptions!$G$18)^3*MIN(0.95,Assumptions!$G$23*$B17)*(1-Assumptions!$G$58)*$J17-(1+Assumptions!$G$11)^3*(1+Assumptions!$G$18)^3*MIN(0.95,Assumptions!$G$23*$B17)*$K17-(1+Assumptions!$G$11)^3*($L17+IF(3&lt;3,$M17,0))-Assumptions!$G$12*MAX(0,(1+Assumptions!$G$11)^3*(1+Assumptions!$G$18)^3*$I17+(1+Assumptions!$G$18)^3*MIN(0.95,Assumptions!$G$23*$B17)*(1-Assumptions!$G$58)*$J17-(1+Assumptions!$G$11)^3*(1+Assumptions!$G$18)^3*MIN(0.95,Assumptions!$G$23*$B17)*$K17-(1+Assumptions!$G$11)^3*($L17+IF(3&lt;3,$M17,0))-$N17)-0</f>
        <v/>
      </c>
      <c r="Z17" s="23">
        <f>(1+Assumptions!$G$11)^4*(1+Assumptions!$G$18)^4*$I17+(1+Assumptions!$G$18)^4*MIN(0.95,Assumptions!$G$24*$B17)*(1-Assumptions!$G$58)*$J17-(1+Assumptions!$G$11)^4*(1+Assumptions!$G$18)^4*MIN(0.95,Assumptions!$G$24*$B17)*$K17-(1+Assumptions!$G$11)^4*($L17+IF(4&lt;3,$M17,0))-Assumptions!$G$12*MAX(0,(1+Assumptions!$G$11)^4*(1+Assumptions!$G$18)^4*$I17+(1+Assumptions!$G$18)^4*MIN(0.95,Assumptions!$G$24*$B17)*(1-Assumptions!$G$58)*$J17-(1+Assumptions!$G$11)^4*(1+Assumptions!$G$18)^4*MIN(0.95,Assumptions!$G$24*$B17)*$K17-(1+Assumptions!$G$11)^4*($L17+IF(4&lt;3,$M17,0))-$N17)-0</f>
        <v/>
      </c>
      <c r="AA17" s="23">
        <f>(1+Assumptions!$G$11)^5*(1+Assumptions!$G$18)^5*$I17+(1+Assumptions!$G$18)^5*MIN(0.95,Assumptions!$G$25*$B17)*(1-Assumptions!$G$58)*$J17-(1+Assumptions!$G$11)^5*(1+Assumptions!$G$18)^5*MIN(0.95,Assumptions!$G$25*$B17)*$K17-(1+Assumptions!$G$11)^5*($L17+IF(5&lt;3,$M17,0))-Assumptions!$G$12*MAX(0,(1+Assumptions!$G$11)^5*(1+Assumptions!$G$18)^5*$I17+(1+Assumptions!$G$18)^5*MIN(0.95,Assumptions!$G$25*$B17)*(1-Assumptions!$G$58)*$J17-(1+Assumptions!$G$11)^5*(1+Assumptions!$G$18)^5*MIN(0.95,Assumptions!$G$25*$B17)*$K17-(1+Assumptions!$G$11)^5*($L17+IF(5&lt;3,$M17,0))-$N17)-0</f>
        <v/>
      </c>
      <c r="AB17" s="23">
        <f>(1+Assumptions!$G$11)^6*(1+Assumptions!$G$18)^6*$I17+(1+Assumptions!$G$18)^6*MIN(0.95,Assumptions!$G$26*$B17)*(1-Assumptions!$G$58)*$J17-(1+Assumptions!$G$11)^6*(1+Assumptions!$G$18)^6*MIN(0.95,Assumptions!$G$26*$B17)*$K17-(1+Assumptions!$G$11)^6*($L17+IF(6&lt;3,$M17,0))-Assumptions!$G$12*MAX(0,(1+Assumptions!$G$11)^6*(1+Assumptions!$G$18)^6*$I17+(1+Assumptions!$G$18)^6*MIN(0.95,Assumptions!$G$26*$B17)*(1-Assumptions!$G$58)*$J17-(1+Assumptions!$G$11)^6*(1+Assumptions!$G$18)^6*MIN(0.95,Assumptions!$G$26*$B17)*$K17-(1+Assumptions!$G$11)^6*($L17+IF(6&lt;3,$M17,0))-$N17)-0</f>
        <v/>
      </c>
      <c r="AC17" s="23">
        <f>(1+Assumptions!$G$11)^7*(1+Assumptions!$G$18)^7*$I17+(1+Assumptions!$G$18)^7*MIN(0.95,Assumptions!$G$27*$B17)*(1-Assumptions!$G$58)*$J17-(1+Assumptions!$G$11)^7*(1+Assumptions!$G$18)^7*MIN(0.95,Assumptions!$G$27*$B17)*$K17-(1+Assumptions!$G$11)^7*($L17+IF(7&lt;3,$M17,0))-Assumptions!$G$12*MAX(0,(1+Assumptions!$G$11)^7*(1+Assumptions!$G$18)^7*$I17+(1+Assumptions!$G$18)^7*MIN(0.95,Assumptions!$G$27*$B17)*(1-Assumptions!$G$58)*$J17-(1+Assumptions!$G$11)^7*(1+Assumptions!$G$18)^7*MIN(0.95,Assumptions!$G$27*$B17)*$K17-(1+Assumptions!$G$11)^7*($L17+IF(7&lt;3,$M17,0))-$N17)-0</f>
        <v/>
      </c>
      <c r="AD17" s="23">
        <f>(1+Assumptions!$G$11)^8*(1+Assumptions!$G$18)^8*$I17+(1+Assumptions!$G$18)^8*MIN(0.95,Assumptions!$G$28*$B17)*(1-Assumptions!$G$58)*$J17-(1+Assumptions!$G$11)^8*(1+Assumptions!$G$18)^8*MIN(0.95,Assumptions!$G$28*$B17)*$K17-(1+Assumptions!$G$11)^8*($L17+IF(8&lt;3,$M17,0))-Assumptions!$G$12*MAX(0,(1+Assumptions!$G$11)^8*(1+Assumptions!$G$18)^8*$I17+(1+Assumptions!$G$18)^8*MIN(0.95,Assumptions!$G$28*$B17)*(1-Assumptions!$G$58)*$J17-(1+Assumptions!$G$11)^8*(1+Assumptions!$G$18)^8*MIN(0.95,Assumptions!$G$28*$B17)*$K17-(1+Assumptions!$G$11)^8*($L17+IF(8&lt;3,$M17,0))-$N17)-0</f>
        <v/>
      </c>
      <c r="AE17" s="23">
        <f>(1+Assumptions!$G$11)^9*(1+Assumptions!$G$18)^9*$I17+(1+Assumptions!$G$18)^9*MIN(0.95,Assumptions!$G$29*$B17)*(1-Assumptions!$G$58)*$J17-(1+Assumptions!$G$11)^9*(1+Assumptions!$G$18)^9*MIN(0.95,Assumptions!$G$29*$B17)*$K17-(1+Assumptions!$G$11)^9*($L17+IF(9&lt;3,$M17,0))-Assumptions!$G$12*MAX(0,(1+Assumptions!$G$11)^9*(1+Assumptions!$G$18)^9*$I17+(1+Assumptions!$G$18)^9*MIN(0.95,Assumptions!$G$29*$B17)*(1-Assumptions!$G$58)*$J17-(1+Assumptions!$G$11)^9*(1+Assumptions!$G$18)^9*MIN(0.95,Assumptions!$G$29*$B17)*$K17-(1+Assumptions!$G$11)^9*($L17+IF(9&lt;3,$M17,0))-$N17)-0</f>
        <v/>
      </c>
      <c r="AG17" s="19">
        <f>IFERROR(IRR(T17:AE17),"n.m.")</f>
        <v/>
      </c>
      <c r="AH17" s="33">
        <f>IFERROR((AG17-AG$6)*100,"n.m.")</f>
        <v/>
      </c>
    </row>
    <row r="18">
      <c r="A18" s="9" t="inlineStr">
        <is>
          <t>Variable cost −15%</t>
        </is>
      </c>
      <c r="B18" s="32" t="n">
        <v>1</v>
      </c>
      <c r="C18" s="32" t="n">
        <v>1</v>
      </c>
      <c r="D18" s="32" t="n">
        <v>1</v>
      </c>
      <c r="E18" s="32" t="n">
        <v>1</v>
      </c>
      <c r="F18" s="32" t="n">
        <v>1</v>
      </c>
      <c r="G18" s="32" t="n">
        <v>0.85</v>
      </c>
      <c r="I18" s="23">
        <f>$C18*(Assumptions!$G$15*Assumptions!$G$60+Assumptions!$G$16*Assumptions!$G$61+Assumptions!$G$17*Assumptions!$G$62)*1000</f>
        <v/>
      </c>
      <c r="J18" s="23">
        <f>(Assumptions!$G$15*Assumptions!$G$67*Assumptions!$G$64*Assumptions!$G$7*$D18+Assumptions!$G$16*Assumptions!$G$68*Assumptions!$G$65*Assumptions!$G$7*$E18+Assumptions!$G$17*Assumptions!$G$69*Assumptions!$G$66)/1000</f>
        <v/>
      </c>
      <c r="K18" s="23">
        <f>(Assumptions!$G$15+Assumptions!$G$16+Assumptions!$G$17)*(Assumptions!$G$48+Assumptions!$G$49+Assumptions!$G$50+Assumptions!$G$51)*$G18*1000</f>
        <v/>
      </c>
      <c r="L18" s="23">
        <f>Assumptions!$G$53+Assumptions!$G$54+Assumptions!$G$56+Assumptions!$G$57+Assumptions!$G$31*Assumptions!$G$52/1000000</f>
        <v/>
      </c>
      <c r="M18" s="23">
        <f>Assumptions!$G$55-Assumptions!$G$56</f>
        <v/>
      </c>
      <c r="N18" s="25">
        <f>Assumptions!$G$31*Assumptions!$G$32/1000000*$F18*(1+Assumptions!$G$43)/Assumptions!$G$33+3*Assumptions!$G$35*(1+Assumptions!$G$43)/Assumptions!$G$36+Assumptions!$G$37*(1+Assumptions!$G$43)/Assumptions!$G$38+Assumptions!$G$39*(1+Assumptions!$G$43)/Assumptions!$G$40+Assumptions!$G$41/Assumptions!$G$42</f>
        <v/>
      </c>
      <c r="O18" s="25">
        <f>0.5*Assumptions!$G$37+0.55*Assumptions!$G$41+Assumptions!$G$43*0.5*Assumptions!$G$37</f>
        <v/>
      </c>
      <c r="P18" s="25">
        <f>0.34*Assumptions!$G$31*Assumptions!$G$32/1000000*$F18+Assumptions!$G$35+0.5*Assumptions!$G$37+0.6*Assumptions!$G$39+0.45*Assumptions!$G$41+Assumptions!$G$43*(0.34*Assumptions!$G$31*Assumptions!$G$32/1000000*$F18+Assumptions!$G$35+0.5*Assumptions!$G$37+0.6*Assumptions!$G$39)</f>
        <v/>
      </c>
      <c r="Q18" s="25">
        <f>0.43*Assumptions!$G$31*Assumptions!$G$32/1000000*$F18+2*Assumptions!$G$35+0.4*Assumptions!$G$39+Assumptions!$G$43*(0.43*Assumptions!$G$31*Assumptions!$G$32/1000000*$F18+2*Assumptions!$G$35+0.4*Assumptions!$G$39)</f>
        <v/>
      </c>
      <c r="R18" s="25">
        <f>0.23*Assumptions!$G$31*Assumptions!$G$32/1000000*$F18*(1+Assumptions!$G$43)</f>
        <v/>
      </c>
      <c r="T18" s="23">
        <f>-O18</f>
        <v/>
      </c>
      <c r="U18" s="23">
        <f>-P18</f>
        <v/>
      </c>
      <c r="V18" s="23">
        <f>(1+Assumptions!$G$11)^0*(1+Assumptions!$G$18)^0*$I18+(1+Assumptions!$G$18)^0*MIN(0.95,Assumptions!$G$20*$B18)*(1-Assumptions!$G$58)*$J18-(1+Assumptions!$G$11)^0*(1+Assumptions!$G$18)^0*MIN(0.95,Assumptions!$G$20*$B18)*$K18-(1+Assumptions!$G$11)^0*($L18+IF(0&lt;3,$M18,0))-Assumptions!$G$12*MAX(0,(1+Assumptions!$G$11)^0*(1+Assumptions!$G$18)^0*$I18+(1+Assumptions!$G$18)^0*MIN(0.95,Assumptions!$G$20*$B18)*(1-Assumptions!$G$58)*$J18-(1+Assumptions!$G$11)^0*(1+Assumptions!$G$18)^0*MIN(0.95,Assumptions!$G$20*$B18)*$K18-(1+Assumptions!$G$11)^0*($L18+IF(0&lt;3,$M18,0))-$N18)-$Q18</f>
        <v/>
      </c>
      <c r="W18" s="23">
        <f>(1+Assumptions!$G$11)^1*(1+Assumptions!$G$18)^1*$I18+(1+Assumptions!$G$18)^1*MIN(0.95,Assumptions!$G$21*$B18)*(1-Assumptions!$G$58)*$J18-(1+Assumptions!$G$11)^1*(1+Assumptions!$G$18)^1*MIN(0.95,Assumptions!$G$21*$B18)*$K18-(1+Assumptions!$G$11)^1*($L18+IF(1&lt;3,$M18,0))-Assumptions!$G$12*MAX(0,(1+Assumptions!$G$11)^1*(1+Assumptions!$G$18)^1*$I18+(1+Assumptions!$G$18)^1*MIN(0.95,Assumptions!$G$21*$B18)*(1-Assumptions!$G$58)*$J18-(1+Assumptions!$G$11)^1*(1+Assumptions!$G$18)^1*MIN(0.95,Assumptions!$G$21*$B18)*$K18-(1+Assumptions!$G$11)^1*($L18+IF(1&lt;3,$M18,0))-$N18)-$R18</f>
        <v/>
      </c>
      <c r="X18" s="23">
        <f>(1+Assumptions!$G$11)^2*(1+Assumptions!$G$18)^2*$I18+(1+Assumptions!$G$18)^2*MIN(0.95,Assumptions!$G$22*$B18)*(1-Assumptions!$G$58)*$J18-(1+Assumptions!$G$11)^2*(1+Assumptions!$G$18)^2*MIN(0.95,Assumptions!$G$22*$B18)*$K18-(1+Assumptions!$G$11)^2*($L18+IF(2&lt;3,$M18,0))-Assumptions!$G$12*MAX(0,(1+Assumptions!$G$11)^2*(1+Assumptions!$G$18)^2*$I18+(1+Assumptions!$G$18)^2*MIN(0.95,Assumptions!$G$22*$B18)*(1-Assumptions!$G$58)*$J18-(1+Assumptions!$G$11)^2*(1+Assumptions!$G$18)^2*MIN(0.95,Assumptions!$G$22*$B18)*$K18-(1+Assumptions!$G$11)^2*($L18+IF(2&lt;3,$M18,0))-$N18)-0</f>
        <v/>
      </c>
      <c r="Y18" s="23">
        <f>(1+Assumptions!$G$11)^3*(1+Assumptions!$G$18)^3*$I18+(1+Assumptions!$G$18)^3*MIN(0.95,Assumptions!$G$23*$B18)*(1-Assumptions!$G$58)*$J18-(1+Assumptions!$G$11)^3*(1+Assumptions!$G$18)^3*MIN(0.95,Assumptions!$G$23*$B18)*$K18-(1+Assumptions!$G$11)^3*($L18+IF(3&lt;3,$M18,0))-Assumptions!$G$12*MAX(0,(1+Assumptions!$G$11)^3*(1+Assumptions!$G$18)^3*$I18+(1+Assumptions!$G$18)^3*MIN(0.95,Assumptions!$G$23*$B18)*(1-Assumptions!$G$58)*$J18-(1+Assumptions!$G$11)^3*(1+Assumptions!$G$18)^3*MIN(0.95,Assumptions!$G$23*$B18)*$K18-(1+Assumptions!$G$11)^3*($L18+IF(3&lt;3,$M18,0))-$N18)-0</f>
        <v/>
      </c>
      <c r="Z18" s="23">
        <f>(1+Assumptions!$G$11)^4*(1+Assumptions!$G$18)^4*$I18+(1+Assumptions!$G$18)^4*MIN(0.95,Assumptions!$G$24*$B18)*(1-Assumptions!$G$58)*$J18-(1+Assumptions!$G$11)^4*(1+Assumptions!$G$18)^4*MIN(0.95,Assumptions!$G$24*$B18)*$K18-(1+Assumptions!$G$11)^4*($L18+IF(4&lt;3,$M18,0))-Assumptions!$G$12*MAX(0,(1+Assumptions!$G$11)^4*(1+Assumptions!$G$18)^4*$I18+(1+Assumptions!$G$18)^4*MIN(0.95,Assumptions!$G$24*$B18)*(1-Assumptions!$G$58)*$J18-(1+Assumptions!$G$11)^4*(1+Assumptions!$G$18)^4*MIN(0.95,Assumptions!$G$24*$B18)*$K18-(1+Assumptions!$G$11)^4*($L18+IF(4&lt;3,$M18,0))-$N18)-0</f>
        <v/>
      </c>
      <c r="AA18" s="23">
        <f>(1+Assumptions!$G$11)^5*(1+Assumptions!$G$18)^5*$I18+(1+Assumptions!$G$18)^5*MIN(0.95,Assumptions!$G$25*$B18)*(1-Assumptions!$G$58)*$J18-(1+Assumptions!$G$11)^5*(1+Assumptions!$G$18)^5*MIN(0.95,Assumptions!$G$25*$B18)*$K18-(1+Assumptions!$G$11)^5*($L18+IF(5&lt;3,$M18,0))-Assumptions!$G$12*MAX(0,(1+Assumptions!$G$11)^5*(1+Assumptions!$G$18)^5*$I18+(1+Assumptions!$G$18)^5*MIN(0.95,Assumptions!$G$25*$B18)*(1-Assumptions!$G$58)*$J18-(1+Assumptions!$G$11)^5*(1+Assumptions!$G$18)^5*MIN(0.95,Assumptions!$G$25*$B18)*$K18-(1+Assumptions!$G$11)^5*($L18+IF(5&lt;3,$M18,0))-$N18)-0</f>
        <v/>
      </c>
      <c r="AB18" s="23">
        <f>(1+Assumptions!$G$11)^6*(1+Assumptions!$G$18)^6*$I18+(1+Assumptions!$G$18)^6*MIN(0.95,Assumptions!$G$26*$B18)*(1-Assumptions!$G$58)*$J18-(1+Assumptions!$G$11)^6*(1+Assumptions!$G$18)^6*MIN(0.95,Assumptions!$G$26*$B18)*$K18-(1+Assumptions!$G$11)^6*($L18+IF(6&lt;3,$M18,0))-Assumptions!$G$12*MAX(0,(1+Assumptions!$G$11)^6*(1+Assumptions!$G$18)^6*$I18+(1+Assumptions!$G$18)^6*MIN(0.95,Assumptions!$G$26*$B18)*(1-Assumptions!$G$58)*$J18-(1+Assumptions!$G$11)^6*(1+Assumptions!$G$18)^6*MIN(0.95,Assumptions!$G$26*$B18)*$K18-(1+Assumptions!$G$11)^6*($L18+IF(6&lt;3,$M18,0))-$N18)-0</f>
        <v/>
      </c>
      <c r="AC18" s="23">
        <f>(1+Assumptions!$G$11)^7*(1+Assumptions!$G$18)^7*$I18+(1+Assumptions!$G$18)^7*MIN(0.95,Assumptions!$G$27*$B18)*(1-Assumptions!$G$58)*$J18-(1+Assumptions!$G$11)^7*(1+Assumptions!$G$18)^7*MIN(0.95,Assumptions!$G$27*$B18)*$K18-(1+Assumptions!$G$11)^7*($L18+IF(7&lt;3,$M18,0))-Assumptions!$G$12*MAX(0,(1+Assumptions!$G$11)^7*(1+Assumptions!$G$18)^7*$I18+(1+Assumptions!$G$18)^7*MIN(0.95,Assumptions!$G$27*$B18)*(1-Assumptions!$G$58)*$J18-(1+Assumptions!$G$11)^7*(1+Assumptions!$G$18)^7*MIN(0.95,Assumptions!$G$27*$B18)*$K18-(1+Assumptions!$G$11)^7*($L18+IF(7&lt;3,$M18,0))-$N18)-0</f>
        <v/>
      </c>
      <c r="AD18" s="23">
        <f>(1+Assumptions!$G$11)^8*(1+Assumptions!$G$18)^8*$I18+(1+Assumptions!$G$18)^8*MIN(0.95,Assumptions!$G$28*$B18)*(1-Assumptions!$G$58)*$J18-(1+Assumptions!$G$11)^8*(1+Assumptions!$G$18)^8*MIN(0.95,Assumptions!$G$28*$B18)*$K18-(1+Assumptions!$G$11)^8*($L18+IF(8&lt;3,$M18,0))-Assumptions!$G$12*MAX(0,(1+Assumptions!$G$11)^8*(1+Assumptions!$G$18)^8*$I18+(1+Assumptions!$G$18)^8*MIN(0.95,Assumptions!$G$28*$B18)*(1-Assumptions!$G$58)*$J18-(1+Assumptions!$G$11)^8*(1+Assumptions!$G$18)^8*MIN(0.95,Assumptions!$G$28*$B18)*$K18-(1+Assumptions!$G$11)^8*($L18+IF(8&lt;3,$M18,0))-$N18)-0</f>
        <v/>
      </c>
      <c r="AE18" s="23">
        <f>(1+Assumptions!$G$11)^9*(1+Assumptions!$G$18)^9*$I18+(1+Assumptions!$G$18)^9*MIN(0.95,Assumptions!$G$29*$B18)*(1-Assumptions!$G$58)*$J18-(1+Assumptions!$G$11)^9*(1+Assumptions!$G$18)^9*MIN(0.95,Assumptions!$G$29*$B18)*$K18-(1+Assumptions!$G$11)^9*($L18+IF(9&lt;3,$M18,0))-Assumptions!$G$12*MAX(0,(1+Assumptions!$G$11)^9*(1+Assumptions!$G$18)^9*$I18+(1+Assumptions!$G$18)^9*MIN(0.95,Assumptions!$G$29*$B18)*(1-Assumptions!$G$58)*$J18-(1+Assumptions!$G$11)^9*(1+Assumptions!$G$18)^9*MIN(0.95,Assumptions!$G$29*$B18)*$K18-(1+Assumptions!$G$11)^9*($L18+IF(9&lt;3,$M18,0))-$N18)-0</f>
        <v/>
      </c>
      <c r="AG18" s="19">
        <f>IFERROR(IRR(T18:AE18),"n.m.")</f>
        <v/>
      </c>
      <c r="AH18" s="33">
        <f>IFERROR((AG18-AG$6)*100,"n.m.")</f>
        <v/>
      </c>
    </row>
    <row r="19"/>
    <row r="20"/>
    <row r="21">
      <c r="A21" s="24" t="inlineStr">
        <is>
          <t>Tornado data: sort by |Δ IRR|. Producer-fee level and rPET price dominate; return-rate sensitivity is INVERTED (higher returns raise variable costs</t>
        </is>
      </c>
    </row>
    <row r="22">
      <c r="A22" s="24" t="inlineStr">
        <is>
          <t>more than material revenue while fee income is fixed on POM) - the fee-review mechanic is what stabilises economics across redemption levels. See R7 memo.</t>
        </is>
      </c>
    </row>
    <row r="23">
      <c r="A23" s="24" t="inlineStr">
        <is>
          <t>Note: engine uses depreciation proxy and no interest; directionally identical to detailed sheets. Variable cost +15% without fee reset can drive IRR negative (n.m.).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49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52" customWidth="1" min="2" max="2"/>
    <col width="10" customWidth="1" min="3" max="3"/>
    <col width="46" customWidth="1" min="4" max="4"/>
    <col width="60" customWidth="1" min="5" max="5"/>
    <col width="10" customWidth="1" min="6" max="6"/>
    <col width="10" customWidth="1" min="7" max="7"/>
    <col width="40" customWidth="1" min="8" max="8"/>
  </cols>
  <sheetData>
    <row r="1">
      <c r="A1" s="1" t="inlineStr">
        <is>
          <t>Phased Rollout Assumptions - Dubai + Abu Dhabi first, national from 2030</t>
        </is>
      </c>
    </row>
    <row r="2">
      <c r="A2" s="34" t="inlineStr">
        <is>
          <t>All values AED unless noted. Unit costs, fees, deposit, prices and ramp logic are inherited live from the base Assumptions sheet (scenario toggle applies).</t>
        </is>
      </c>
    </row>
    <row r="3"/>
    <row r="4"/>
    <row r="5">
      <c r="A5" s="31" t="inlineStr">
        <is>
          <t>Code</t>
        </is>
      </c>
      <c r="B5" s="31" t="inlineStr">
        <is>
          <t>Assumption</t>
        </is>
      </c>
      <c r="C5" s="31" t="inlineStr">
        <is>
          <t>Unit</t>
        </is>
      </c>
      <c r="D5" s="31" t="inlineStr">
        <is>
          <t>Value</t>
        </is>
      </c>
      <c r="E5" s="31" t="inlineStr">
        <is>
          <t>Source / note</t>
        </is>
      </c>
    </row>
    <row r="6">
      <c r="A6" s="6" t="inlineStr">
        <is>
          <t>POPULATION SPLIT - VERIFIED 2024-2026 SOURCES</t>
        </is>
      </c>
    </row>
    <row r="7">
      <c r="A7" t="inlineStr">
        <is>
          <t>POP_UAE</t>
        </is>
      </c>
      <c r="B7" t="inlineStr">
        <is>
          <t>UAE population 2024</t>
        </is>
      </c>
      <c r="C7" t="inlineStr">
        <is>
          <t>million</t>
        </is>
      </c>
      <c r="D7">
        <f>Assumptions!G9</f>
        <v/>
      </c>
      <c r="E7" t="inlineStr">
        <is>
          <t>FCSC via R5/R7 - 11,294,243 residents</t>
        </is>
      </c>
    </row>
    <row r="8">
      <c r="A8" t="inlineStr">
        <is>
          <t>POP_DXB</t>
        </is>
      </c>
      <c r="B8" t="inlineStr">
        <is>
          <t>Dubai population end-2024</t>
        </is>
      </c>
      <c r="C8" t="inlineStr">
        <is>
          <t>million</t>
        </is>
      </c>
      <c r="D8" t="n">
        <v>3.769</v>
      </c>
      <c r="E8" t="inlineStr">
        <is>
          <t>Dubai Statistics Center (DSC) - 3,768,932 end-2024; crossed 4.0m during 2025</t>
        </is>
      </c>
    </row>
    <row r="9">
      <c r="A9" t="inlineStr">
        <is>
          <t>POP_AD</t>
        </is>
      </c>
      <c r="B9" t="inlineStr">
        <is>
          <t>Abu Dhabi emirate population 2024</t>
        </is>
      </c>
      <c r="C9" t="inlineStr">
        <is>
          <t>million</t>
        </is>
      </c>
      <c r="D9" t="n">
        <v>4.136</v>
      </c>
      <c r="E9" t="inlineStr">
        <is>
          <t>SCAD, Jun 2025 - 4,135,985 (+7.5% in 2024; revised 2023: 3,847,585)</t>
        </is>
      </c>
    </row>
    <row r="10">
      <c r="A10" t="inlineStr">
        <is>
          <t>POP_NE</t>
        </is>
      </c>
      <c r="B10" t="inlineStr">
        <is>
          <t>Northern Emirates (Sharjah, Ajman, UAQ, RAK, Fujairah)</t>
        </is>
      </c>
      <c r="C10" t="inlineStr">
        <is>
          <t>million</t>
        </is>
      </c>
      <c r="D10">
        <f>D7-D8-D9</f>
        <v/>
      </c>
      <c r="E10" t="inlineStr">
        <is>
          <t>Residual vs FCSC national total [ESTIMATE - residual method]</t>
        </is>
      </c>
    </row>
    <row r="11">
      <c r="A11" t="inlineStr">
        <is>
          <t>SH_DXB</t>
        </is>
      </c>
      <c r="B11" t="inlineStr">
        <is>
          <t>Dubai share of national population</t>
        </is>
      </c>
      <c r="C11" t="inlineStr">
        <is>
          <t>%</t>
        </is>
      </c>
      <c r="D11" s="35">
        <f>D8/D7</f>
        <v/>
      </c>
      <c r="E11" t="inlineStr">
        <is>
          <t>~33% [ESTIMATE from sourced figures]</t>
        </is>
      </c>
    </row>
    <row r="12">
      <c r="A12" t="inlineStr">
        <is>
          <t>SH_AD</t>
        </is>
      </c>
      <c r="B12" t="inlineStr">
        <is>
          <t>Abu Dhabi share of national population</t>
        </is>
      </c>
      <c r="C12" t="inlineStr">
        <is>
          <t>%</t>
        </is>
      </c>
      <c r="D12" s="35">
        <f>D9/D7</f>
        <v/>
      </c>
      <c r="E12" t="inlineStr">
        <is>
          <t>~37% [ESTIMATE from sourced figures]</t>
        </is>
      </c>
    </row>
    <row r="13">
      <c r="A13" t="inlineStr">
        <is>
          <t>SH_NE</t>
        </is>
      </c>
      <c r="B13" t="inlineStr">
        <is>
          <t>Northern Emirates share</t>
        </is>
      </c>
      <c r="C13" t="inlineStr">
        <is>
          <t>%</t>
        </is>
      </c>
      <c r="D13" s="35">
        <f>D10/D7</f>
        <v/>
      </c>
      <c r="E13" t="inlineStr">
        <is>
          <t>~30% [ESTIMATE - residual]</t>
        </is>
      </c>
    </row>
    <row r="14">
      <c r="A14" t="inlineStr">
        <is>
          <t>SH_P1POP</t>
        </is>
      </c>
      <c r="B14" t="inlineStr">
        <is>
          <t>Dubai + Abu Dhabi population share (check)</t>
        </is>
      </c>
      <c r="C14" t="inlineStr">
        <is>
          <t>%</t>
        </is>
      </c>
      <c r="D14" s="35">
        <f>D11+D12</f>
        <v/>
      </c>
      <c r="E14" t="inlineStr">
        <is>
          <t>~70% of residents; IMARC 2026 bottled-water revenue split: DXB 40.9% / AD 32.7% / Sharjah 16.4% (R3)</t>
        </is>
      </c>
    </row>
    <row r="15"/>
    <row r="16">
      <c r="A16" s="6" t="inlineStr">
        <is>
          <t>PHASE DEFINITION</t>
        </is>
      </c>
    </row>
    <row r="17">
      <c r="A17" t="inlineStr">
        <is>
          <t>P1_COV</t>
        </is>
      </c>
      <c r="B17" t="inlineStr">
        <is>
          <t>Phase 1 coverage - share of containers/POM (Dubai + Abu Dhabi)</t>
        </is>
      </c>
      <c r="C17" t="inlineStr">
        <is>
          <t>%</t>
        </is>
      </c>
      <c r="D17" s="36" t="n">
        <v>0.65</v>
      </c>
      <c r="E17" t="inlineStr">
        <is>
          <t>[ESTIMATE - planning assumption] Deliberately conservative vs ~70% population share (row 14); allows for Sharjah-commuter catchment and HoReCa density</t>
        </is>
      </c>
    </row>
    <row r="18">
      <c r="A18" t="inlineStr">
        <is>
          <t>P2_COV</t>
        </is>
      </c>
      <c r="B18" t="inlineStr">
        <is>
          <t>Phase 2 coverage - Northern Emirates</t>
        </is>
      </c>
      <c r="C18" t="inlineStr">
        <is>
          <t>%</t>
        </is>
      </c>
      <c r="D18" s="36">
        <f>1-D17</f>
        <v/>
      </c>
      <c r="E18" t="inlineStr">
        <is>
          <t>Residual</t>
        </is>
      </c>
    </row>
    <row r="19">
      <c r="A19" t="inlineStr">
        <is>
          <t>P1_HALF</t>
        </is>
      </c>
      <c r="B19" t="inlineStr">
        <is>
          <t>Phase 1 first-year factor (H2 2028 launch)</t>
        </is>
      </c>
      <c r="C19" t="inlineStr">
        <is>
          <t>x</t>
        </is>
      </c>
      <c r="D19" t="n">
        <v>0.5</v>
      </c>
      <c r="E19" t="inlineStr">
        <is>
          <t>Launch second half of 2028 - half-year of deposits/fees in launch year</t>
        </is>
      </c>
    </row>
    <row r="20">
      <c r="A20" t="inlineStr">
        <is>
          <t>RVM_P1</t>
        </is>
      </c>
      <c r="B20" t="inlineStr">
        <is>
          <t>RVMs - Phase 1</t>
        </is>
      </c>
      <c r="C20" t="inlineStr">
        <is>
          <t>units</t>
        </is>
      </c>
      <c r="D20" t="n">
        <v>2300</v>
      </c>
      <c r="E20" t="inlineStr">
        <is>
          <t>~65% of 3,500 base fleet (MDPI 2023 sizing, R3) [ESTIMATE]</t>
        </is>
      </c>
    </row>
    <row r="21">
      <c r="A21" t="inlineStr">
        <is>
          <t>RVM_P2</t>
        </is>
      </c>
      <c r="B21" t="inlineStr">
        <is>
          <t>RVMs - Phase 2</t>
        </is>
      </c>
      <c r="C21" t="inlineStr">
        <is>
          <t>units</t>
        </is>
      </c>
      <c r="D21">
        <f>Assumptions!G31-D20</f>
        <v/>
      </c>
      <c r="E21" t="inlineStr">
        <is>
          <t>Remainder of base fleet (~1,200)</t>
        </is>
      </c>
    </row>
    <row r="22">
      <c r="A22" t="inlineStr">
        <is>
          <t>CENT_P1</t>
        </is>
      </c>
      <c r="B22" t="inlineStr">
        <is>
          <t>Counting/sorting centres - Phase 1 (Dubai, Abu Dhabi)</t>
        </is>
      </c>
      <c r="C22" t="inlineStr">
        <is>
          <t>units</t>
        </is>
      </c>
      <c r="D22" t="n">
        <v>2</v>
      </c>
      <c r="E22" t="inlineStr">
        <is>
          <t>Romania benchmark ~EUR 8-9m/centre (R4)</t>
        </is>
      </c>
    </row>
    <row r="23">
      <c r="A23" t="inlineStr">
        <is>
          <t>CENT_P2</t>
        </is>
      </c>
      <c r="B23" t="inlineStr">
        <is>
          <t>Counting/sorting centres - Phase 2 (Sharjah/N. Emirates)</t>
        </is>
      </c>
      <c r="C23" t="inlineStr">
        <is>
          <t>units</t>
        </is>
      </c>
      <c r="D23">
        <f>Assumptions!G34-D22</f>
        <v/>
      </c>
      <c r="E23" t="inlineStr">
        <is>
          <t>Third base-case centre, deferred to Phase 2</t>
        </is>
      </c>
    </row>
    <row r="24">
      <c r="A24" t="inlineStr">
        <is>
          <t>IT_P1</t>
        </is>
      </c>
      <c r="B24" t="inlineStr">
        <is>
          <t>Central IT platform - Phase 1 share</t>
        </is>
      </c>
      <c r="C24" t="inlineStr">
        <is>
          <t>%</t>
        </is>
      </c>
      <c r="D24" s="36" t="n">
        <v>0.7</v>
      </c>
      <c r="E24" t="inlineStr">
        <is>
          <t>[ESTIMATE] Platform built national-capable from day 1; Phase 2 adds territory/registry extension</t>
        </is>
      </c>
    </row>
    <row r="25">
      <c r="A25" t="inlineStr">
        <is>
          <t>VEH_P1</t>
        </is>
      </c>
      <c r="B25" t="inlineStr">
        <is>
          <t>Vehicles &amp; logistics - Phase 1 share</t>
        </is>
      </c>
      <c r="C25" t="inlineStr">
        <is>
          <t>%</t>
        </is>
      </c>
      <c r="D25" s="36" t="n">
        <v>0.65</v>
      </c>
      <c r="E25" t="inlineStr">
        <is>
          <t>[ESTIMATE] Scaled with coverage</t>
        </is>
      </c>
    </row>
    <row r="26">
      <c r="A26" t="inlineStr">
        <is>
          <t>SETUP_P1</t>
        </is>
      </c>
      <c r="B26" t="inlineStr">
        <is>
          <t>Setup &amp; pre-launch - Phase 1 share</t>
        </is>
      </c>
      <c r="C26" t="inlineStr">
        <is>
          <t>%</t>
        </is>
      </c>
      <c r="D26" s="36" t="n">
        <v>0.6</v>
      </c>
      <c r="E26" t="inlineStr">
        <is>
          <t>[ESTIMATE] DSO formation, SKU registration, launch campaign wave 1</t>
        </is>
      </c>
    </row>
    <row r="27">
      <c r="A27" t="inlineStr">
        <is>
          <t>ADMIN_P1</t>
        </is>
      </c>
      <c r="B27" t="inlineStr">
        <is>
          <t>DSO admin scaling factor during Phase 1 (2028-29)</t>
        </is>
      </c>
      <c r="C27" t="inlineStr">
        <is>
          <t>x</t>
        </is>
      </c>
      <c r="D27" s="36" t="n">
        <v>0.85</v>
      </c>
      <c r="E27" t="inlineStr">
        <is>
          <t>[ESTIMATE] Leaner HQ before national scope</t>
        </is>
      </c>
    </row>
    <row r="28">
      <c r="A28" t="inlineStr">
        <is>
          <t>AWA_END</t>
        </is>
      </c>
      <c r="B28" t="inlineStr">
        <is>
          <t>Launch-level awareness spend through year</t>
        </is>
      </c>
      <c r="C28" t="inlineStr">
        <is>
          <t>year</t>
        </is>
      </c>
      <c r="D28" t="n">
        <v>2030</v>
      </c>
      <c r="E28" t="inlineStr">
        <is>
          <t>Two launch waves: Phase 1 (2028) + Phase 2 (2030); steady-state spend from 2031</t>
        </is>
      </c>
    </row>
    <row r="29">
      <c r="A29" t="inlineStr">
        <is>
          <t>FEEREV_YR</t>
        </is>
      </c>
      <c r="B29" t="inlineStr">
        <is>
          <t>Fee-review mechanic applies from year</t>
        </is>
      </c>
      <c r="C29" t="inlineStr">
        <is>
          <t>year</t>
        </is>
      </c>
      <c r="D29" t="n">
        <v>2031</v>
      </c>
      <c r="E29" t="inlineStr">
        <is>
          <t>Same as base (year 4 of Phase 1 operations)</t>
        </is>
      </c>
    </row>
    <row r="30">
      <c r="A30" t="inlineStr">
        <is>
          <t>REPAY_START</t>
        </is>
      </c>
      <c r="B30" t="inlineStr">
        <is>
          <t>Debt repayment start (10-yr straight line)</t>
        </is>
      </c>
      <c r="C30" t="inlineStr">
        <is>
          <t>year</t>
        </is>
      </c>
      <c r="D30" t="n">
        <v>2031</v>
      </c>
      <c r="E30" t="inlineStr">
        <is>
          <t>After Phase 2 build completes (base case: from 2029)</t>
        </is>
      </c>
    </row>
    <row r="31">
      <c r="A31" s="6" t="inlineStr">
        <is>
          <t>CAPEX PHASING (SHARES OF EACH PHASE ALLOCATION BY YEAR)</t>
        </is>
      </c>
    </row>
    <row r="32">
      <c r="A32" s="31" t="inlineStr">
        <is>
          <t>Item</t>
        </is>
      </c>
      <c r="B32" s="31" t="inlineStr"/>
      <c r="C32" s="31" t="n">
        <v>2026</v>
      </c>
      <c r="D32" s="31" t="n">
        <v>2027</v>
      </c>
      <c r="E32" s="31" t="n">
        <v>2028</v>
      </c>
      <c r="F32" s="31" t="n">
        <v>2029</v>
      </c>
      <c r="G32" s="31" t="n">
        <v>2030</v>
      </c>
      <c r="H32" s="31" t="inlineStr">
        <is>
          <t>Note</t>
        </is>
      </c>
    </row>
    <row r="33">
      <c r="A33" t="inlineStr">
        <is>
          <t>RVM rollout - Phase 1 (share of 2,300)</t>
        </is>
      </c>
      <c r="C33" s="36" t="n">
        <v>0</v>
      </c>
      <c r="D33" s="36" t="n">
        <v>0.4</v>
      </c>
      <c r="E33" s="36" t="n">
        <v>0.45</v>
      </c>
      <c r="F33" s="36" t="n">
        <v>0.15</v>
      </c>
      <c r="G33" s="36" t="n">
        <v>0</v>
      </c>
      <c r="H33" t="inlineStr">
        <is>
          <t>Install wave ahead of H2-2028 launch; 2029 completion</t>
        </is>
      </c>
    </row>
    <row r="34">
      <c r="A34" t="inlineStr">
        <is>
          <t>RVM rollout - Phase 2 (share of ~1,200)</t>
        </is>
      </c>
      <c r="C34" s="36" t="n">
        <v>0</v>
      </c>
      <c r="D34" s="36" t="n">
        <v>0</v>
      </c>
      <c r="E34" s="36" t="n">
        <v>0</v>
      </c>
      <c r="F34" s="36" t="n">
        <v>0.6</v>
      </c>
      <c r="G34" s="36" t="n">
        <v>0.4</v>
      </c>
      <c r="H34" t="inlineStr">
        <is>
          <t>Ahead of 2030 national launch</t>
        </is>
      </c>
    </row>
    <row r="35">
      <c r="A35" t="inlineStr">
        <is>
          <t>Centres built - Phase 1 (units)</t>
        </is>
      </c>
      <c r="C35" t="n">
        <v>0</v>
      </c>
      <c r="D35" t="n">
        <v>1</v>
      </c>
      <c r="E35" t="n">
        <v>1</v>
      </c>
      <c r="F35" t="n">
        <v>0</v>
      </c>
      <c r="G35" t="n">
        <v>0</v>
      </c>
      <c r="H35" t="inlineStr">
        <is>
          <t>Dubai 2027, Abu Dhabi 2028</t>
        </is>
      </c>
    </row>
    <row r="36">
      <c r="A36" t="inlineStr">
        <is>
          <t>Centres built - Phase 2 (units)</t>
        </is>
      </c>
      <c r="C36" t="n">
        <v>0</v>
      </c>
      <c r="D36" t="n">
        <v>0</v>
      </c>
      <c r="E36" t="n">
        <v>0</v>
      </c>
      <c r="F36" t="n">
        <v>1</v>
      </c>
      <c r="G36" t="n">
        <v>0</v>
      </c>
      <c r="H36" t="inlineStr">
        <is>
          <t>Sharjah/N. Emirates 2029, ready for 2030</t>
        </is>
      </c>
    </row>
    <row r="37">
      <c r="A37" t="inlineStr">
        <is>
          <t>IT platform - Phase 1 share spend</t>
        </is>
      </c>
      <c r="C37" s="36" t="n">
        <v>0.5</v>
      </c>
      <c r="D37" s="36" t="n">
        <v>0.5</v>
      </c>
      <c r="E37" s="36" t="n">
        <v>0</v>
      </c>
      <c r="F37" s="36" t="n">
        <v>0</v>
      </c>
      <c r="G37" s="36" t="n">
        <v>0</v>
      </c>
      <c r="H37" t="inlineStr">
        <is>
          <t>6-12 month build (R4 Slovakia benchmark)</t>
        </is>
      </c>
    </row>
    <row r="38">
      <c r="A38" t="inlineStr">
        <is>
          <t>IT platform - Phase 2 share spend</t>
        </is>
      </c>
      <c r="C38" s="36" t="n">
        <v>0</v>
      </c>
      <c r="D38" s="36" t="n">
        <v>0</v>
      </c>
      <c r="E38" s="36" t="n">
        <v>0</v>
      </c>
      <c r="F38" s="36" t="n">
        <v>0.5</v>
      </c>
      <c r="G38" s="36" t="n">
        <v>0.5</v>
      </c>
      <c r="H38" t="inlineStr">
        <is>
          <t>Territory extension</t>
        </is>
      </c>
    </row>
    <row r="39">
      <c r="A39" t="inlineStr">
        <is>
          <t>Vehicles - Phase 1 share spend</t>
        </is>
      </c>
      <c r="C39" s="36" t="n">
        <v>0</v>
      </c>
      <c r="D39" s="36" t="n">
        <v>0.6</v>
      </c>
      <c r="E39" s="36" t="n">
        <v>0.4</v>
      </c>
      <c r="F39" s="36" t="n">
        <v>0</v>
      </c>
      <c r="G39" s="36" t="n">
        <v>0</v>
      </c>
      <c r="H39" t="inlineStr">
        <is>
          <t>Backhaul-first design (R1 Lithuania)</t>
        </is>
      </c>
    </row>
    <row r="40">
      <c r="A40" t="inlineStr">
        <is>
          <t>Vehicles - Phase 2 share spend</t>
        </is>
      </c>
      <c r="C40" s="36" t="n">
        <v>0</v>
      </c>
      <c r="D40" s="36" t="n">
        <v>0</v>
      </c>
      <c r="E40" s="36" t="n">
        <v>0</v>
      </c>
      <c r="F40" s="36" t="n">
        <v>0.6</v>
      </c>
      <c r="G40" s="36" t="n">
        <v>0.4</v>
      </c>
    </row>
    <row r="41">
      <c r="A41" t="inlineStr">
        <is>
          <t>Setup - Phase 1 share spend</t>
        </is>
      </c>
      <c r="C41" s="36" t="n">
        <v>0.55</v>
      </c>
      <c r="D41" s="36" t="n">
        <v>0.45</v>
      </c>
      <c r="E41" s="36" t="n">
        <v>0</v>
      </c>
      <c r="F41" s="36" t="n">
        <v>0</v>
      </c>
      <c r="G41" s="36" t="n">
        <v>0</v>
      </c>
      <c r="H41" t="inlineStr">
        <is>
          <t>Legal, DSO, registration, campaign</t>
        </is>
      </c>
    </row>
    <row r="42">
      <c r="A42" t="inlineStr">
        <is>
          <t>Setup - Phase 2 share spend</t>
        </is>
      </c>
      <c r="C42" s="36" t="n">
        <v>0</v>
      </c>
      <c r="D42" s="36" t="n">
        <v>0</v>
      </c>
      <c r="E42" s="36" t="n">
        <v>0</v>
      </c>
      <c r="F42" s="36" t="n">
        <v>0.6</v>
      </c>
      <c r="G42" s="36" t="n">
        <v>0.4</v>
      </c>
      <c r="H42" t="inlineStr">
        <is>
          <t>Second mobilisation + N. Emirates launch campaign</t>
        </is>
      </c>
    </row>
    <row r="43"/>
    <row r="44">
      <c r="A44" s="6" t="inlineStr">
        <is>
          <t>RETURN-RATE RAMP BY PHASE (LIVE FROM BASE ASSUMPTIONS G20:G29)</t>
        </is>
      </c>
    </row>
    <row r="45">
      <c r="A45" s="31" t="inlineStr">
        <is>
          <t>Phase</t>
        </is>
      </c>
      <c r="B45" s="31" t="inlineStr"/>
      <c r="C45" s="31" t="n">
        <v>2028</v>
      </c>
      <c r="D45" s="31" t="n">
        <v>2029</v>
      </c>
      <c r="E45" s="31" t="n">
        <v>2030</v>
      </c>
      <c r="F45" s="31" t="n">
        <v>2031</v>
      </c>
      <c r="G45" s="31" t="n">
        <v>2032</v>
      </c>
      <c r="H45" s="31" t="n">
        <v>2033</v>
      </c>
      <c r="I45" s="31" t="n">
        <v>2034</v>
      </c>
      <c r="J45" s="31" t="n">
        <v>2035</v>
      </c>
      <c r="K45" s="31" t="n">
        <v>2036</v>
      </c>
      <c r="L45" s="31" t="n">
        <v>2037</v>
      </c>
      <c r="M45" s="31" t="inlineStr">
        <is>
          <t>Note</t>
        </is>
      </c>
    </row>
    <row r="46">
      <c r="A46" t="inlineStr">
        <is>
          <t>Phase 1 ramp (launch H2 2028)</t>
        </is>
      </c>
      <c r="C46" s="36">
        <f>Assumptions!$G$20</f>
        <v/>
      </c>
      <c r="D46" s="36">
        <f>Assumptions!$G$21</f>
        <v/>
      </c>
      <c r="E46" s="36">
        <f>Assumptions!$G$22</f>
        <v/>
      </c>
      <c r="F46" s="36">
        <f>Assumptions!$G$23</f>
        <v/>
      </c>
      <c r="G46" s="36">
        <f>Assumptions!$G$24</f>
        <v/>
      </c>
      <c r="H46" s="36">
        <f>Assumptions!$G$25</f>
        <v/>
      </c>
      <c r="I46" s="36">
        <f>Assumptions!$G$26</f>
        <v/>
      </c>
      <c r="J46" s="36">
        <f>Assumptions!$G$27</f>
        <v/>
      </c>
      <c r="K46" s="36">
        <f>Assumptions!$G$28</f>
        <v/>
      </c>
      <c r="L46" s="36">
        <f>Assumptions!$G$29</f>
        <v/>
      </c>
      <c r="M46" t="inlineStr">
        <is>
          <t>Same ramp as base case, anchored to each phase launch year (R1 benchmarks)</t>
        </is>
      </c>
    </row>
    <row r="47">
      <c r="A47" t="inlineStr">
        <is>
          <t>Phase 2 ramp (launch 2030)</t>
        </is>
      </c>
      <c r="C47" s="36" t="n">
        <v>0</v>
      </c>
      <c r="D47" s="36" t="n">
        <v>0</v>
      </c>
      <c r="E47" s="36">
        <f>Assumptions!$G$20</f>
        <v/>
      </c>
      <c r="F47" s="36">
        <f>Assumptions!$G$21</f>
        <v/>
      </c>
      <c r="G47" s="36">
        <f>Assumptions!$G$22</f>
        <v/>
      </c>
      <c r="H47" s="36">
        <f>Assumptions!$G$23</f>
        <v/>
      </c>
      <c r="I47" s="36">
        <f>Assumptions!$G$24</f>
        <v/>
      </c>
      <c r="J47" s="36">
        <f>Assumptions!$G$25</f>
        <v/>
      </c>
      <c r="K47" s="36">
        <f>Assumptions!$G$26</f>
        <v/>
      </c>
      <c r="L47" s="36">
        <f>Assumptions!$G$27</f>
        <v/>
      </c>
    </row>
    <row r="48"/>
    <row r="49">
      <c r="A49" s="2" t="inlineStr">
        <is>
          <t>Note: dual-mobilisation premium NOT added - same unit costs and same totals as base (conservative for the national case; any phasing premium would modestly worsen phased economics).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39"/>
  <sheetViews>
    <sheetView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4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46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>
      <c r="A1" s="1" t="inlineStr">
        <is>
          <t>Phased CAPEX - Build-Out 2026-2030 &amp; Depreciation</t>
        </is>
      </c>
    </row>
    <row r="2">
      <c r="A2" s="34" t="inlineStr">
        <is>
          <t>AED millions. Phase 1 (Dubai + Abu Dhabi, launch H2 2028): ~2,300 RVMs + 2 centres + 70% IT + 65% fleet + 60% setup. Phase 2 (national, 2030): remainder. Same unit costs as base CAPEX sheet.</t>
        </is>
      </c>
    </row>
    <row r="3"/>
    <row r="4"/>
    <row r="5">
      <c r="A5" s="31" t="inlineStr">
        <is>
          <t>Item</t>
        </is>
      </c>
      <c r="B5" s="31" t="inlineStr">
        <is>
          <t>Unit</t>
        </is>
      </c>
      <c r="C5" s="31" t="n">
        <v>2026</v>
      </c>
      <c r="D5" s="31" t="n">
        <v>2027</v>
      </c>
      <c r="E5" s="31" t="n">
        <v>2028</v>
      </c>
      <c r="F5" s="31" t="n">
        <v>2029</v>
      </c>
      <c r="G5" s="31" t="n">
        <v>2030</v>
      </c>
      <c r="H5" s="31" t="inlineStr">
        <is>
          <t>Total</t>
        </is>
      </c>
      <c r="I5" s="31" t="inlineStr">
        <is>
          <t>Source / note</t>
        </is>
      </c>
    </row>
    <row r="6"/>
    <row r="7">
      <c r="A7" t="inlineStr">
        <is>
          <t>RVMs installed - Phase 1</t>
        </is>
      </c>
      <c r="B7" t="inlineStr">
        <is>
          <t>units</t>
        </is>
      </c>
      <c r="C7" s="37">
        <f>Phased_Assumptions!C33*Phased_Assumptions!$D$20</f>
        <v/>
      </c>
      <c r="D7" s="37">
        <f>Phased_Assumptions!D33*Phased_Assumptions!$D$20</f>
        <v/>
      </c>
      <c r="E7" s="37">
        <f>Phased_Assumptions!E33*Phased_Assumptions!$D$20</f>
        <v/>
      </c>
      <c r="F7" s="37">
        <f>Phased_Assumptions!F33*Phased_Assumptions!$D$20</f>
        <v/>
      </c>
      <c r="G7" s="37">
        <f>Phased_Assumptions!G33*Phased_Assumptions!$D$20</f>
        <v/>
      </c>
      <c r="H7" s="37">
        <f>SUM(C7:G7)</f>
        <v/>
      </c>
      <c r="I7" t="inlineStr">
        <is>
          <t>Phasing per Phased_Assumptions</t>
        </is>
      </c>
    </row>
    <row r="8">
      <c r="A8" t="inlineStr">
        <is>
          <t>RVMs installed - Phase 2</t>
        </is>
      </c>
      <c r="B8" t="inlineStr">
        <is>
          <t>units</t>
        </is>
      </c>
      <c r="C8" s="37">
        <f>Phased_Assumptions!C34*Phased_Assumptions!$D$21</f>
        <v/>
      </c>
      <c r="D8" s="37">
        <f>Phased_Assumptions!D34*Phased_Assumptions!$D$21</f>
        <v/>
      </c>
      <c r="E8" s="37">
        <f>Phased_Assumptions!E34*Phased_Assumptions!$D$21</f>
        <v/>
      </c>
      <c r="F8" s="37">
        <f>Phased_Assumptions!F34*Phased_Assumptions!$D$21</f>
        <v/>
      </c>
      <c r="G8" s="37">
        <f>Phased_Assumptions!G34*Phased_Assumptions!$D$21</f>
        <v/>
      </c>
      <c r="H8" s="37">
        <f>SUM(C8:G8)</f>
        <v/>
      </c>
    </row>
    <row r="9">
      <c r="A9" t="inlineStr">
        <is>
          <t>RVM fleet capex - Phase 1</t>
        </is>
      </c>
      <c r="B9" t="inlineStr">
        <is>
          <t>AED m</t>
        </is>
      </c>
      <c r="C9" s="38">
        <f>C7*Assumptions!$G$32/1000000</f>
        <v/>
      </c>
      <c r="D9" s="38">
        <f>D7*Assumptions!$G$32/1000000</f>
        <v/>
      </c>
      <c r="E9" s="38">
        <f>E7*Assumptions!$G$32/1000000</f>
        <v/>
      </c>
      <c r="F9" s="38">
        <f>F7*Assumptions!$G$32/1000000</f>
        <v/>
      </c>
      <c r="G9" s="38">
        <f>G7*Assumptions!$G$32/1000000</f>
        <v/>
      </c>
      <c r="H9" s="38">
        <f>SUM(C9:G9)</f>
        <v/>
      </c>
      <c r="I9" t="inlineStr">
        <is>
          <t>R4: $10-25k standard; Ireland €15-30k; MDPI ~AED 150k installed</t>
        </is>
      </c>
    </row>
    <row r="10">
      <c r="A10" t="inlineStr">
        <is>
          <t>RVM fleet capex - Phase 2</t>
        </is>
      </c>
      <c r="B10" t="inlineStr">
        <is>
          <t>AED m</t>
        </is>
      </c>
      <c r="C10" s="38">
        <f>C8*Assumptions!$G$32/1000000</f>
        <v/>
      </c>
      <c r="D10" s="38">
        <f>D8*Assumptions!$G$32/1000000</f>
        <v/>
      </c>
      <c r="E10" s="38">
        <f>E8*Assumptions!$G$32/1000000</f>
        <v/>
      </c>
      <c r="F10" s="38">
        <f>F8*Assumptions!$G$32/1000000</f>
        <v/>
      </c>
      <c r="G10" s="38">
        <f>G8*Assumptions!$G$32/1000000</f>
        <v/>
      </c>
      <c r="H10" s="38">
        <f>SUM(C10:G10)</f>
        <v/>
      </c>
    </row>
    <row r="11">
      <c r="A11" t="inlineStr">
        <is>
          <t>Centres built - Phase 1</t>
        </is>
      </c>
      <c r="B11" t="inlineStr">
        <is>
          <t>units</t>
        </is>
      </c>
      <c r="C11" s="38">
        <f>Phased_Assumptions!C35</f>
        <v/>
      </c>
      <c r="D11" s="38">
        <f>Phased_Assumptions!D35</f>
        <v/>
      </c>
      <c r="E11" s="38">
        <f>Phased_Assumptions!E35</f>
        <v/>
      </c>
      <c r="F11" s="38">
        <f>Phased_Assumptions!F35</f>
        <v/>
      </c>
      <c r="G11" s="38">
        <f>Phased_Assumptions!G35</f>
        <v/>
      </c>
      <c r="H11" s="38">
        <f>SUM(C11:G11)</f>
        <v/>
      </c>
    </row>
    <row r="12">
      <c r="A12" t="inlineStr">
        <is>
          <t>Centre capex - Phase 1</t>
        </is>
      </c>
      <c r="B12" t="inlineStr">
        <is>
          <t>AED m</t>
        </is>
      </c>
      <c r="C12" s="38">
        <f>C11*Assumptions!$G$35</f>
        <v/>
      </c>
      <c r="D12" s="38">
        <f>D11*Assumptions!$G$35</f>
        <v/>
      </c>
      <c r="E12" s="38">
        <f>E11*Assumptions!$G$35</f>
        <v/>
      </c>
      <c r="F12" s="38">
        <f>F11*Assumptions!$G$35</f>
        <v/>
      </c>
      <c r="G12" s="38">
        <f>G11*Assumptions!$G$35</f>
        <v/>
      </c>
      <c r="H12" s="38">
        <f>SUM(C12:G12)</f>
        <v/>
      </c>
      <c r="I12" t="inlineStr">
        <is>
          <t>~€8-9m/centre × 4.0 AED/EUR (R4)</t>
        </is>
      </c>
    </row>
    <row r="13">
      <c r="A13" t="inlineStr">
        <is>
          <t>Centres built - Phase 2</t>
        </is>
      </c>
      <c r="B13" t="inlineStr">
        <is>
          <t>units</t>
        </is>
      </c>
      <c r="C13" s="38">
        <f>Phased_Assumptions!C36</f>
        <v/>
      </c>
      <c r="D13" s="38">
        <f>Phased_Assumptions!D36</f>
        <v/>
      </c>
      <c r="E13" s="38">
        <f>Phased_Assumptions!E36</f>
        <v/>
      </c>
      <c r="F13" s="38">
        <f>Phased_Assumptions!F36</f>
        <v/>
      </c>
      <c r="G13" s="38">
        <f>Phased_Assumptions!G36</f>
        <v/>
      </c>
      <c r="H13" s="38">
        <f>SUM(C13:G13)</f>
        <v/>
      </c>
    </row>
    <row r="14">
      <c r="A14" t="inlineStr">
        <is>
          <t>Centre capex - Phase 2</t>
        </is>
      </c>
      <c r="B14" t="inlineStr">
        <is>
          <t>AED m</t>
        </is>
      </c>
      <c r="C14" s="38">
        <f>C13*Assumptions!$G$35</f>
        <v/>
      </c>
      <c r="D14" s="38">
        <f>D13*Assumptions!$G$35</f>
        <v/>
      </c>
      <c r="E14" s="38">
        <f>E13*Assumptions!$G$35</f>
        <v/>
      </c>
      <c r="F14" s="38">
        <f>F13*Assumptions!$G$35</f>
        <v/>
      </c>
      <c r="G14" s="38">
        <f>G13*Assumptions!$G$35</f>
        <v/>
      </c>
      <c r="H14" s="38">
        <f>SUM(C14:G14)</f>
        <v/>
      </c>
    </row>
    <row r="15">
      <c r="A15" t="inlineStr">
        <is>
          <t>Central IT platform - Phase 1</t>
        </is>
      </c>
      <c r="B15" t="inlineStr">
        <is>
          <t>AED m</t>
        </is>
      </c>
      <c r="C15" s="38">
        <f>Phased_Assumptions!C37*Phased_Assumptions!$D$24*Assumptions!$G$37</f>
        <v/>
      </c>
      <c r="D15" s="38">
        <f>Phased_Assumptions!D37*Phased_Assumptions!$D$24*Assumptions!$G$37</f>
        <v/>
      </c>
      <c r="E15" s="38">
        <f>Phased_Assumptions!E37*Phased_Assumptions!$D$24*Assumptions!$G$37</f>
        <v/>
      </c>
      <c r="F15" s="38">
        <f>Phased_Assumptions!F37*Phased_Assumptions!$D$24*Assumptions!$G$37</f>
        <v/>
      </c>
      <c r="G15" s="38">
        <f>Phased_Assumptions!G37*Phased_Assumptions!$D$24*Assumptions!$G$37</f>
        <v/>
      </c>
      <c r="H15" s="38">
        <f>SUM(C15:G15)</f>
        <v/>
      </c>
    </row>
    <row r="16">
      <c r="A16" t="inlineStr">
        <is>
          <t>Central IT platform - Phase 2</t>
        </is>
      </c>
      <c r="B16" t="inlineStr">
        <is>
          <t>AED m</t>
        </is>
      </c>
      <c r="C16" s="38">
        <f>Phased_Assumptions!C38*(1-Phased_Assumptions!$D$24)*Assumptions!$G$37</f>
        <v/>
      </c>
      <c r="D16" s="38">
        <f>Phased_Assumptions!D38*(1-Phased_Assumptions!$D$24)*Assumptions!$G$37</f>
        <v/>
      </c>
      <c r="E16" s="38">
        <f>Phased_Assumptions!E38*(1-Phased_Assumptions!$D$24)*Assumptions!$G$37</f>
        <v/>
      </c>
      <c r="F16" s="38">
        <f>Phased_Assumptions!F38*(1-Phased_Assumptions!$D$24)*Assumptions!$G$37</f>
        <v/>
      </c>
      <c r="G16" s="38">
        <f>Phased_Assumptions!G38*(1-Phased_Assumptions!$D$24)*Assumptions!$G$37</f>
        <v/>
      </c>
      <c r="H16" s="38">
        <f>SUM(C16:G16)</f>
        <v/>
      </c>
    </row>
    <row r="17">
      <c r="A17" t="inlineStr">
        <is>
          <t>Vehicles &amp; logistics - Phase 1</t>
        </is>
      </c>
      <c r="B17" t="inlineStr">
        <is>
          <t>AED m</t>
        </is>
      </c>
      <c r="C17" s="38">
        <f>Phased_Assumptions!C39*Phased_Assumptions!$D$25*Assumptions!$G$39</f>
        <v/>
      </c>
      <c r="D17" s="38">
        <f>Phased_Assumptions!D39*Phased_Assumptions!$D$25*Assumptions!$G$39</f>
        <v/>
      </c>
      <c r="E17" s="38">
        <f>Phased_Assumptions!E39*Phased_Assumptions!$D$25*Assumptions!$G$39</f>
        <v/>
      </c>
      <c r="F17" s="38">
        <f>Phased_Assumptions!F39*Phased_Assumptions!$D$25*Assumptions!$G$39</f>
        <v/>
      </c>
      <c r="G17" s="38">
        <f>Phased_Assumptions!G39*Phased_Assumptions!$D$25*Assumptions!$G$39</f>
        <v/>
      </c>
      <c r="H17" s="38">
        <f>SUM(C17:G17)</f>
        <v/>
      </c>
    </row>
    <row r="18">
      <c r="A18" t="inlineStr">
        <is>
          <t>Vehicles &amp; logistics - Phase 2</t>
        </is>
      </c>
      <c r="B18" t="inlineStr">
        <is>
          <t>AED m</t>
        </is>
      </c>
      <c r="C18" s="38">
        <f>Phased_Assumptions!C40*(1-Phased_Assumptions!$D$25)*Assumptions!$G$39</f>
        <v/>
      </c>
      <c r="D18" s="38">
        <f>Phased_Assumptions!D40*(1-Phased_Assumptions!$D$25)*Assumptions!$G$39</f>
        <v/>
      </c>
      <c r="E18" s="38">
        <f>Phased_Assumptions!E40*(1-Phased_Assumptions!$D$25)*Assumptions!$G$39</f>
        <v/>
      </c>
      <c r="F18" s="38">
        <f>Phased_Assumptions!F40*(1-Phased_Assumptions!$D$25)*Assumptions!$G$39</f>
        <v/>
      </c>
      <c r="G18" s="38">
        <f>Phased_Assumptions!G40*(1-Phased_Assumptions!$D$25)*Assumptions!$G$39</f>
        <v/>
      </c>
      <c r="H18" s="38">
        <f>SUM(C18:G18)</f>
        <v/>
      </c>
    </row>
    <row r="19">
      <c r="A19" t="inlineStr">
        <is>
          <t>Setup &amp; pre-launch - Phase 1</t>
        </is>
      </c>
      <c r="B19" t="inlineStr">
        <is>
          <t>AED m</t>
        </is>
      </c>
      <c r="C19" s="38">
        <f>Phased_Assumptions!C41*Phased_Assumptions!$D$26*Assumptions!$G$41</f>
        <v/>
      </c>
      <c r="D19" s="38">
        <f>Phased_Assumptions!D41*Phased_Assumptions!$D$26*Assumptions!$G$41</f>
        <v/>
      </c>
      <c r="E19" s="38">
        <f>Phased_Assumptions!E41*Phased_Assumptions!$D$26*Assumptions!$G$41</f>
        <v/>
      </c>
      <c r="F19" s="38">
        <f>Phased_Assumptions!F41*Phased_Assumptions!$D$26*Assumptions!$G$41</f>
        <v/>
      </c>
      <c r="G19" s="38">
        <f>Phased_Assumptions!G41*Phased_Assumptions!$D$26*Assumptions!$G$41</f>
        <v/>
      </c>
      <c r="H19" s="38">
        <f>SUM(C19:G19)</f>
        <v/>
      </c>
    </row>
    <row r="20">
      <c r="A20" t="inlineStr">
        <is>
          <t>Setup &amp; pre-launch - Phase 2</t>
        </is>
      </c>
      <c r="B20" t="inlineStr">
        <is>
          <t>AED m</t>
        </is>
      </c>
      <c r="C20" s="38">
        <f>Phased_Assumptions!C42*(1-Phased_Assumptions!$D$26)*Assumptions!$G$41</f>
        <v/>
      </c>
      <c r="D20" s="38">
        <f>Phased_Assumptions!D42*(1-Phased_Assumptions!$D$26)*Assumptions!$G$41</f>
        <v/>
      </c>
      <c r="E20" s="38">
        <f>Phased_Assumptions!E42*(1-Phased_Assumptions!$D$26)*Assumptions!$G$41</f>
        <v/>
      </c>
      <c r="F20" s="38">
        <f>Phased_Assumptions!F42*(1-Phased_Assumptions!$D$26)*Assumptions!$G$41</f>
        <v/>
      </c>
      <c r="G20" s="38">
        <f>Phased_Assumptions!G42*(1-Phased_Assumptions!$D$26)*Assumptions!$G$41</f>
        <v/>
      </c>
      <c r="H20" s="38">
        <f>SUM(C20:G20)</f>
        <v/>
      </c>
    </row>
    <row r="21">
      <c r="A21" t="inlineStr">
        <is>
          <t>Contingency - Phase 1</t>
        </is>
      </c>
      <c r="B21" t="inlineStr">
        <is>
          <t>AED m</t>
        </is>
      </c>
      <c r="C21" s="38">
        <f>Assumptions!$G$43*(C9+C12+C15+C17)</f>
        <v/>
      </c>
      <c r="D21" s="38">
        <f>Assumptions!$G$43*(D9+D12+D15+D17)</f>
        <v/>
      </c>
      <c r="E21" s="38">
        <f>Assumptions!$G$43*(E9+E12+E15+E17)</f>
        <v/>
      </c>
      <c r="F21" s="38">
        <f>Assumptions!$G$43*(F9+F12+F15+F17)</f>
        <v/>
      </c>
      <c r="G21" s="38">
        <f>Assumptions!$G$43*(G9+G12+G15+G17)</f>
        <v/>
      </c>
      <c r="H21" s="38">
        <f>SUM(C21:G21)</f>
        <v/>
      </c>
      <c r="I21" t="inlineStr">
        <is>
          <t>Contingency % per Assumptions (on hard capex)</t>
        </is>
      </c>
    </row>
    <row r="22">
      <c r="A22" t="inlineStr">
        <is>
          <t>Contingency - Phase 2</t>
        </is>
      </c>
      <c r="B22" t="inlineStr">
        <is>
          <t>AED m</t>
        </is>
      </c>
      <c r="C22" s="38">
        <f>Assumptions!$G$43*(C10+C14+C16+C18)</f>
        <v/>
      </c>
      <c r="D22" s="38">
        <f>Assumptions!$G$43*(D10+D14+D16+D18)</f>
        <v/>
      </c>
      <c r="E22" s="38">
        <f>Assumptions!$G$43*(E10+E14+E16+E18)</f>
        <v/>
      </c>
      <c r="F22" s="38">
        <f>Assumptions!$G$43*(F10+F14+F16+F18)</f>
        <v/>
      </c>
      <c r="G22" s="38">
        <f>Assumptions!$G$43*(G10+G14+G16+G18)</f>
        <v/>
      </c>
      <c r="H22" s="38">
        <f>SUM(C22:G22)</f>
        <v/>
      </c>
    </row>
    <row r="23">
      <c r="A23" s="3" t="inlineStr">
        <is>
          <t>TOTAL CAPEX</t>
        </is>
      </c>
      <c r="B23" s="3" t="inlineStr">
        <is>
          <t>AED m</t>
        </is>
      </c>
      <c r="C23" s="39">
        <f>C9+C10+C12+C14+C15+C16+C17+C18+C19+C20+C21+C22</f>
        <v/>
      </c>
      <c r="D23" s="39">
        <f>D9+D10+D12+D14+D15+D16+D17+D18+D19+D20+D21+D22</f>
        <v/>
      </c>
      <c r="E23" s="39">
        <f>E9+E10+E12+E14+E15+E16+E17+E18+E19+E20+E21+E22</f>
        <v/>
      </c>
      <c r="F23" s="39">
        <f>F9+F10+F12+F14+F15+F16+F17+F18+F19+F20+F21+F22</f>
        <v/>
      </c>
      <c r="G23" s="39">
        <f>G9+G10+G12+G14+G15+G16+G17+G18+G19+G20+G21+G22</f>
        <v/>
      </c>
      <c r="H23" s="39">
        <f>SUM(C23:G23)</f>
        <v/>
      </c>
    </row>
    <row r="24"/>
    <row r="25">
      <c r="A25" s="3" t="inlineStr">
        <is>
          <t>Phase 1 subtotal (Dubai + Abu Dhabi)</t>
        </is>
      </c>
      <c r="B25" s="3" t="inlineStr">
        <is>
          <t>AED m</t>
        </is>
      </c>
      <c r="C25" s="39">
        <f>C9+C12+C15+C17+C19+C21</f>
        <v/>
      </c>
      <c r="D25" s="39">
        <f>D9+D12+D15+D17+D19+D21</f>
        <v/>
      </c>
      <c r="E25" s="39">
        <f>E9+E12+E15+E17+E19+E21</f>
        <v/>
      </c>
      <c r="F25" s="39">
        <f>F9+F12+F15+F17+F19+F21</f>
        <v/>
      </c>
      <c r="G25" s="39">
        <f>G9+G12+G15+G17+G19+G21</f>
        <v/>
      </c>
      <c r="H25" s="39">
        <f>SUM(C25:G25)</f>
        <v/>
      </c>
    </row>
    <row r="26">
      <c r="A26" s="3" t="inlineStr">
        <is>
          <t>Phase 2 subtotal (national expansion)</t>
        </is>
      </c>
      <c r="B26" s="3" t="inlineStr">
        <is>
          <t>AED m</t>
        </is>
      </c>
      <c r="C26" s="39">
        <f>C10+C14+C16+C18+C20+C22</f>
        <v/>
      </c>
      <c r="D26" s="39">
        <f>D10+D14+D16+D18+D20+D22</f>
        <v/>
      </c>
      <c r="E26" s="39">
        <f>E10+E14+E16+E18+E20+E22</f>
        <v/>
      </c>
      <c r="F26" s="39">
        <f>F10+F14+F16+F18+F20+F22</f>
        <v/>
      </c>
      <c r="G26" s="39">
        <f>G10+G14+G16+G18+G20+G22</f>
        <v/>
      </c>
      <c r="H26" s="39">
        <f>SUM(C26:G26)</f>
        <v/>
      </c>
    </row>
    <row r="27">
      <c r="A27" s="2" t="inlineStr">
        <is>
          <t>Memo: total = base-case AED 664m, same unit costs - only timing differs.</t>
        </is>
      </c>
    </row>
    <row r="28"/>
    <row r="29">
      <c r="A29" s="6" t="inlineStr">
        <is>
          <t>DEPRECIATION SCHEDULE (straight line from spend year; hard capex incl. contingency)</t>
        </is>
      </c>
    </row>
    <row r="30">
      <c r="A30" s="31" t="inlineStr">
        <is>
          <t>Class</t>
        </is>
      </c>
      <c r="B30" s="31" t="inlineStr">
        <is>
          <t>Life</t>
        </is>
      </c>
      <c r="C30" s="31" t="n">
        <v>2026</v>
      </c>
      <c r="D30" s="31" t="n">
        <v>2027</v>
      </c>
      <c r="E30" s="31" t="n">
        <v>2028</v>
      </c>
      <c r="F30" s="31" t="n">
        <v>2029</v>
      </c>
      <c r="G30" s="31" t="n">
        <v>2030</v>
      </c>
      <c r="H30" s="31" t="n">
        <v>2031</v>
      </c>
      <c r="I30" s="31" t="n">
        <v>2032</v>
      </c>
      <c r="J30" s="31" t="n">
        <v>2033</v>
      </c>
      <c r="K30" s="31" t="n">
        <v>2034</v>
      </c>
      <c r="L30" s="31" t="n">
        <v>2035</v>
      </c>
      <c r="M30" s="31" t="n">
        <v>2036</v>
      </c>
      <c r="N30" s="31" t="n">
        <v>2037</v>
      </c>
    </row>
    <row r="31">
      <c r="A31" t="inlineStr">
        <is>
          <t>RVM fleet</t>
        </is>
      </c>
      <c r="B31" t="inlineStr">
        <is>
          <t>$G$33</t>
        </is>
      </c>
      <c r="C31" s="38">
        <f>IF(AND(2026&gt;=2027,2026&lt;2027+Assumptions!$G$33),$D$9+$D$10*(1+Assumptions!$G$43)/Assumptions!$G$33,0)+IF(AND(2026&gt;=2028,2026&lt;2028+Assumptions!$G$33),$E$9+$E$10*(1+Assumptions!$G$43)/Assumptions!$G$33,0)+IF(AND(2026&gt;=2029,2026&lt;2029+Assumptions!$G$33),$F$9+$F$10*(1+Assumptions!$G$43)/Assumptions!$G$33,0)+IF(AND(2026&gt;=2030,2026&lt;2030+Assumptions!$G$33),$G$9+$G$10*(1+Assumptions!$G$43)/Assumptions!$G$33,0)</f>
        <v/>
      </c>
      <c r="D31" s="38">
        <f>IF(AND(2027&gt;=2027,2027&lt;2027+Assumptions!$G$33),$D$9+$D$10*(1+Assumptions!$G$43)/Assumptions!$G$33,0)+IF(AND(2027&gt;=2028,2027&lt;2028+Assumptions!$G$33),$E$9+$E$10*(1+Assumptions!$G$43)/Assumptions!$G$33,0)+IF(AND(2027&gt;=2029,2027&lt;2029+Assumptions!$G$33),$F$9+$F$10*(1+Assumptions!$G$43)/Assumptions!$G$33,0)+IF(AND(2027&gt;=2030,2027&lt;2030+Assumptions!$G$33),$G$9+$G$10*(1+Assumptions!$G$43)/Assumptions!$G$33,0)</f>
        <v/>
      </c>
      <c r="E31" s="38">
        <f>IF(AND(2028&gt;=2027,2028&lt;2027+Assumptions!$G$33),$D$9+$D$10*(1+Assumptions!$G$43)/Assumptions!$G$33,0)+IF(AND(2028&gt;=2028,2028&lt;2028+Assumptions!$G$33),$E$9+$E$10*(1+Assumptions!$G$43)/Assumptions!$G$33,0)+IF(AND(2028&gt;=2029,2028&lt;2029+Assumptions!$G$33),$F$9+$F$10*(1+Assumptions!$G$43)/Assumptions!$G$33,0)+IF(AND(2028&gt;=2030,2028&lt;2030+Assumptions!$G$33),$G$9+$G$10*(1+Assumptions!$G$43)/Assumptions!$G$33,0)</f>
        <v/>
      </c>
      <c r="F31" s="38">
        <f>IF(AND(2029&gt;=2027,2029&lt;2027+Assumptions!$G$33),$D$9+$D$10*(1+Assumptions!$G$43)/Assumptions!$G$33,0)+IF(AND(2029&gt;=2028,2029&lt;2028+Assumptions!$G$33),$E$9+$E$10*(1+Assumptions!$G$43)/Assumptions!$G$33,0)+IF(AND(2029&gt;=2029,2029&lt;2029+Assumptions!$G$33),$F$9+$F$10*(1+Assumptions!$G$43)/Assumptions!$G$33,0)+IF(AND(2029&gt;=2030,2029&lt;2030+Assumptions!$G$33),$G$9+$G$10*(1+Assumptions!$G$43)/Assumptions!$G$33,0)</f>
        <v/>
      </c>
      <c r="G31" s="38">
        <f>IF(AND(2030&gt;=2027,2030&lt;2027+Assumptions!$G$33),$D$9+$D$10*(1+Assumptions!$G$43)/Assumptions!$G$33,0)+IF(AND(2030&gt;=2028,2030&lt;2028+Assumptions!$G$33),$E$9+$E$10*(1+Assumptions!$G$43)/Assumptions!$G$33,0)+IF(AND(2030&gt;=2029,2030&lt;2029+Assumptions!$G$33),$F$9+$F$10*(1+Assumptions!$G$43)/Assumptions!$G$33,0)+IF(AND(2030&gt;=2030,2030&lt;2030+Assumptions!$G$33),$G$9+$G$10*(1+Assumptions!$G$43)/Assumptions!$G$33,0)</f>
        <v/>
      </c>
      <c r="H31" s="38">
        <f>IF(AND(2031&gt;=2027,2031&lt;2027+Assumptions!$G$33),$D$9+$D$10*(1+Assumptions!$G$43)/Assumptions!$G$33,0)+IF(AND(2031&gt;=2028,2031&lt;2028+Assumptions!$G$33),$E$9+$E$10*(1+Assumptions!$G$43)/Assumptions!$G$33,0)+IF(AND(2031&gt;=2029,2031&lt;2029+Assumptions!$G$33),$F$9+$F$10*(1+Assumptions!$G$43)/Assumptions!$G$33,0)+IF(AND(2031&gt;=2030,2031&lt;2030+Assumptions!$G$33),$G$9+$G$10*(1+Assumptions!$G$43)/Assumptions!$G$33,0)</f>
        <v/>
      </c>
      <c r="I31" s="38">
        <f>IF(AND(2032&gt;=2027,2032&lt;2027+Assumptions!$G$33),$D$9+$D$10*(1+Assumptions!$G$43)/Assumptions!$G$33,0)+IF(AND(2032&gt;=2028,2032&lt;2028+Assumptions!$G$33),$E$9+$E$10*(1+Assumptions!$G$43)/Assumptions!$G$33,0)+IF(AND(2032&gt;=2029,2032&lt;2029+Assumptions!$G$33),$F$9+$F$10*(1+Assumptions!$G$43)/Assumptions!$G$33,0)+IF(AND(2032&gt;=2030,2032&lt;2030+Assumptions!$G$33),$G$9+$G$10*(1+Assumptions!$G$43)/Assumptions!$G$33,0)</f>
        <v/>
      </c>
      <c r="J31" s="38">
        <f>IF(AND(2033&gt;=2027,2033&lt;2027+Assumptions!$G$33),$D$9+$D$10*(1+Assumptions!$G$43)/Assumptions!$G$33,0)+IF(AND(2033&gt;=2028,2033&lt;2028+Assumptions!$G$33),$E$9+$E$10*(1+Assumptions!$G$43)/Assumptions!$G$33,0)+IF(AND(2033&gt;=2029,2033&lt;2029+Assumptions!$G$33),$F$9+$F$10*(1+Assumptions!$G$43)/Assumptions!$G$33,0)+IF(AND(2033&gt;=2030,2033&lt;2030+Assumptions!$G$33),$G$9+$G$10*(1+Assumptions!$G$43)/Assumptions!$G$33,0)</f>
        <v/>
      </c>
      <c r="K31" s="38">
        <f>IF(AND(2034&gt;=2027,2034&lt;2027+Assumptions!$G$33),$D$9+$D$10*(1+Assumptions!$G$43)/Assumptions!$G$33,0)+IF(AND(2034&gt;=2028,2034&lt;2028+Assumptions!$G$33),$E$9+$E$10*(1+Assumptions!$G$43)/Assumptions!$G$33,0)+IF(AND(2034&gt;=2029,2034&lt;2029+Assumptions!$G$33),$F$9+$F$10*(1+Assumptions!$G$43)/Assumptions!$G$33,0)+IF(AND(2034&gt;=2030,2034&lt;2030+Assumptions!$G$33),$G$9+$G$10*(1+Assumptions!$G$43)/Assumptions!$G$33,0)</f>
        <v/>
      </c>
      <c r="L31" s="38">
        <f>IF(AND(2035&gt;=2027,2035&lt;2027+Assumptions!$G$33),$D$9+$D$10*(1+Assumptions!$G$43)/Assumptions!$G$33,0)+IF(AND(2035&gt;=2028,2035&lt;2028+Assumptions!$G$33),$E$9+$E$10*(1+Assumptions!$G$43)/Assumptions!$G$33,0)+IF(AND(2035&gt;=2029,2035&lt;2029+Assumptions!$G$33),$F$9+$F$10*(1+Assumptions!$G$43)/Assumptions!$G$33,0)+IF(AND(2035&gt;=2030,2035&lt;2030+Assumptions!$G$33),$G$9+$G$10*(1+Assumptions!$G$43)/Assumptions!$G$33,0)</f>
        <v/>
      </c>
      <c r="M31" s="38">
        <f>IF(AND(2036&gt;=2027,2036&lt;2027+Assumptions!$G$33),$D$9+$D$10*(1+Assumptions!$G$43)/Assumptions!$G$33,0)+IF(AND(2036&gt;=2028,2036&lt;2028+Assumptions!$G$33),$E$9+$E$10*(1+Assumptions!$G$43)/Assumptions!$G$33,0)+IF(AND(2036&gt;=2029,2036&lt;2029+Assumptions!$G$33),$F$9+$F$10*(1+Assumptions!$G$43)/Assumptions!$G$33,0)+IF(AND(2036&gt;=2030,2036&lt;2030+Assumptions!$G$33),$G$9+$G$10*(1+Assumptions!$G$43)/Assumptions!$G$33,0)</f>
        <v/>
      </c>
      <c r="N31" s="38">
        <f>IF(AND(2037&gt;=2027,2037&lt;2027+Assumptions!$G$33),$D$9+$D$10*(1+Assumptions!$G$43)/Assumptions!$G$33,0)+IF(AND(2037&gt;=2028,2037&lt;2028+Assumptions!$G$33),$E$9+$E$10*(1+Assumptions!$G$43)/Assumptions!$G$33,0)+IF(AND(2037&gt;=2029,2037&lt;2029+Assumptions!$G$33),$F$9+$F$10*(1+Assumptions!$G$43)/Assumptions!$G$33,0)+IF(AND(2037&gt;=2030,2037&lt;2030+Assumptions!$G$33),$G$9+$G$10*(1+Assumptions!$G$43)/Assumptions!$G$33,0)</f>
        <v/>
      </c>
    </row>
    <row r="32">
      <c r="A32" t="inlineStr">
        <is>
          <t>Centres</t>
        </is>
      </c>
      <c r="B32" t="inlineStr">
        <is>
          <t>$G$36</t>
        </is>
      </c>
      <c r="C32" s="38">
        <f>IF(AND(2026&gt;=2027,2026&lt;2027+Assumptions!$G$36),$D$12*(1+Assumptions!$G$43)/Assumptions!$G$36,0)+IF(AND(2026&gt;=2028,2026&lt;2028+Assumptions!$G$36),$E$12*(1+Assumptions!$G$43)/Assumptions!$G$36,0)+IF(AND(2026&gt;=2029,2026&lt;2029+Assumptions!$G$36),$F$14*(1+Assumptions!$G$43)/Assumptions!$G$36,0)</f>
        <v/>
      </c>
      <c r="D32" s="38">
        <f>IF(AND(2027&gt;=2027,2027&lt;2027+Assumptions!$G$36),$D$12*(1+Assumptions!$G$43)/Assumptions!$G$36,0)+IF(AND(2027&gt;=2028,2027&lt;2028+Assumptions!$G$36),$E$12*(1+Assumptions!$G$43)/Assumptions!$G$36,0)+IF(AND(2027&gt;=2029,2027&lt;2029+Assumptions!$G$36),$F$14*(1+Assumptions!$G$43)/Assumptions!$G$36,0)</f>
        <v/>
      </c>
      <c r="E32" s="38">
        <f>IF(AND(2028&gt;=2027,2028&lt;2027+Assumptions!$G$36),$D$12*(1+Assumptions!$G$43)/Assumptions!$G$36,0)+IF(AND(2028&gt;=2028,2028&lt;2028+Assumptions!$G$36),$E$12*(1+Assumptions!$G$43)/Assumptions!$G$36,0)+IF(AND(2028&gt;=2029,2028&lt;2029+Assumptions!$G$36),$F$14*(1+Assumptions!$G$43)/Assumptions!$G$36,0)</f>
        <v/>
      </c>
      <c r="F32" s="38">
        <f>IF(AND(2029&gt;=2027,2029&lt;2027+Assumptions!$G$36),$D$12*(1+Assumptions!$G$43)/Assumptions!$G$36,0)+IF(AND(2029&gt;=2028,2029&lt;2028+Assumptions!$G$36),$E$12*(1+Assumptions!$G$43)/Assumptions!$G$36,0)+IF(AND(2029&gt;=2029,2029&lt;2029+Assumptions!$G$36),$F$14*(1+Assumptions!$G$43)/Assumptions!$G$36,0)</f>
        <v/>
      </c>
      <c r="G32" s="38">
        <f>IF(AND(2030&gt;=2027,2030&lt;2027+Assumptions!$G$36),$D$12*(1+Assumptions!$G$43)/Assumptions!$G$36,0)+IF(AND(2030&gt;=2028,2030&lt;2028+Assumptions!$G$36),$E$12*(1+Assumptions!$G$43)/Assumptions!$G$36,0)+IF(AND(2030&gt;=2029,2030&lt;2029+Assumptions!$G$36),$F$14*(1+Assumptions!$G$43)/Assumptions!$G$36,0)</f>
        <v/>
      </c>
      <c r="H32" s="38">
        <f>IF(AND(2031&gt;=2027,2031&lt;2027+Assumptions!$G$36),$D$12*(1+Assumptions!$G$43)/Assumptions!$G$36,0)+IF(AND(2031&gt;=2028,2031&lt;2028+Assumptions!$G$36),$E$12*(1+Assumptions!$G$43)/Assumptions!$G$36,0)+IF(AND(2031&gt;=2029,2031&lt;2029+Assumptions!$G$36),$F$14*(1+Assumptions!$G$43)/Assumptions!$G$36,0)</f>
        <v/>
      </c>
      <c r="I32" s="38">
        <f>IF(AND(2032&gt;=2027,2032&lt;2027+Assumptions!$G$36),$D$12*(1+Assumptions!$G$43)/Assumptions!$G$36,0)+IF(AND(2032&gt;=2028,2032&lt;2028+Assumptions!$G$36),$E$12*(1+Assumptions!$G$43)/Assumptions!$G$36,0)+IF(AND(2032&gt;=2029,2032&lt;2029+Assumptions!$G$36),$F$14*(1+Assumptions!$G$43)/Assumptions!$G$36,0)</f>
        <v/>
      </c>
      <c r="J32" s="38">
        <f>IF(AND(2033&gt;=2027,2033&lt;2027+Assumptions!$G$36),$D$12*(1+Assumptions!$G$43)/Assumptions!$G$36,0)+IF(AND(2033&gt;=2028,2033&lt;2028+Assumptions!$G$36),$E$12*(1+Assumptions!$G$43)/Assumptions!$G$36,0)+IF(AND(2033&gt;=2029,2033&lt;2029+Assumptions!$G$36),$F$14*(1+Assumptions!$G$43)/Assumptions!$G$36,0)</f>
        <v/>
      </c>
      <c r="K32" s="38">
        <f>IF(AND(2034&gt;=2027,2034&lt;2027+Assumptions!$G$36),$D$12*(1+Assumptions!$G$43)/Assumptions!$G$36,0)+IF(AND(2034&gt;=2028,2034&lt;2028+Assumptions!$G$36),$E$12*(1+Assumptions!$G$43)/Assumptions!$G$36,0)+IF(AND(2034&gt;=2029,2034&lt;2029+Assumptions!$G$36),$F$14*(1+Assumptions!$G$43)/Assumptions!$G$36,0)</f>
        <v/>
      </c>
      <c r="L32" s="38">
        <f>IF(AND(2035&gt;=2027,2035&lt;2027+Assumptions!$G$36),$D$12*(1+Assumptions!$G$43)/Assumptions!$G$36,0)+IF(AND(2035&gt;=2028,2035&lt;2028+Assumptions!$G$36),$E$12*(1+Assumptions!$G$43)/Assumptions!$G$36,0)+IF(AND(2035&gt;=2029,2035&lt;2029+Assumptions!$G$36),$F$14*(1+Assumptions!$G$43)/Assumptions!$G$36,0)</f>
        <v/>
      </c>
      <c r="M32" s="38">
        <f>IF(AND(2036&gt;=2027,2036&lt;2027+Assumptions!$G$36),$D$12*(1+Assumptions!$G$43)/Assumptions!$G$36,0)+IF(AND(2036&gt;=2028,2036&lt;2028+Assumptions!$G$36),$E$12*(1+Assumptions!$G$43)/Assumptions!$G$36,0)+IF(AND(2036&gt;=2029,2036&lt;2029+Assumptions!$G$36),$F$14*(1+Assumptions!$G$43)/Assumptions!$G$36,0)</f>
        <v/>
      </c>
      <c r="N32" s="38">
        <f>IF(AND(2037&gt;=2027,2037&lt;2027+Assumptions!$G$36),$D$12*(1+Assumptions!$G$43)/Assumptions!$G$36,0)+IF(AND(2037&gt;=2028,2037&lt;2028+Assumptions!$G$36),$E$12*(1+Assumptions!$G$43)/Assumptions!$G$36,0)+IF(AND(2037&gt;=2029,2037&lt;2029+Assumptions!$G$36),$F$14*(1+Assumptions!$G$43)/Assumptions!$G$36,0)</f>
        <v/>
      </c>
    </row>
    <row r="33">
      <c r="A33" t="inlineStr">
        <is>
          <t>IT platform</t>
        </is>
      </c>
      <c r="B33" t="inlineStr">
        <is>
          <t>$G$38</t>
        </is>
      </c>
      <c r="C33" s="38">
        <f>IF(AND(2026&gt;=2026,2026&lt;2026+Assumptions!$G$38),$C$15*(1+Assumptions!$G$43)/Assumptions!$G$38,0)+IF(AND(2026&gt;=2027,2026&lt;2027+Assumptions!$G$38),$D$15*(1+Assumptions!$G$43)/Assumptions!$G$38,0)+IF(AND(2026&gt;=2029,2026&lt;2029+Assumptions!$G$38),$F$16*(1+Assumptions!$G$43)/Assumptions!$G$38,0)+IF(AND(2026&gt;=2030,2026&lt;2030+Assumptions!$G$38),$G$16*(1+Assumptions!$G$43)/Assumptions!$G$38,0)</f>
        <v/>
      </c>
      <c r="D33" s="38">
        <f>IF(AND(2027&gt;=2026,2027&lt;2026+Assumptions!$G$38),$C$15*(1+Assumptions!$G$43)/Assumptions!$G$38,0)+IF(AND(2027&gt;=2027,2027&lt;2027+Assumptions!$G$38),$D$15*(1+Assumptions!$G$43)/Assumptions!$G$38,0)+IF(AND(2027&gt;=2029,2027&lt;2029+Assumptions!$G$38),$F$16*(1+Assumptions!$G$43)/Assumptions!$G$38,0)+IF(AND(2027&gt;=2030,2027&lt;2030+Assumptions!$G$38),$G$16*(1+Assumptions!$G$43)/Assumptions!$G$38,0)</f>
        <v/>
      </c>
      <c r="E33" s="38">
        <f>IF(AND(2028&gt;=2026,2028&lt;2026+Assumptions!$G$38),$C$15*(1+Assumptions!$G$43)/Assumptions!$G$38,0)+IF(AND(2028&gt;=2027,2028&lt;2027+Assumptions!$G$38),$D$15*(1+Assumptions!$G$43)/Assumptions!$G$38,0)+IF(AND(2028&gt;=2029,2028&lt;2029+Assumptions!$G$38),$F$16*(1+Assumptions!$G$43)/Assumptions!$G$38,0)+IF(AND(2028&gt;=2030,2028&lt;2030+Assumptions!$G$38),$G$16*(1+Assumptions!$G$43)/Assumptions!$G$38,0)</f>
        <v/>
      </c>
      <c r="F33" s="38">
        <f>IF(AND(2029&gt;=2026,2029&lt;2026+Assumptions!$G$38),$C$15*(1+Assumptions!$G$43)/Assumptions!$G$38,0)+IF(AND(2029&gt;=2027,2029&lt;2027+Assumptions!$G$38),$D$15*(1+Assumptions!$G$43)/Assumptions!$G$38,0)+IF(AND(2029&gt;=2029,2029&lt;2029+Assumptions!$G$38),$F$16*(1+Assumptions!$G$43)/Assumptions!$G$38,0)+IF(AND(2029&gt;=2030,2029&lt;2030+Assumptions!$G$38),$G$16*(1+Assumptions!$G$43)/Assumptions!$G$38,0)</f>
        <v/>
      </c>
      <c r="G33" s="38">
        <f>IF(AND(2030&gt;=2026,2030&lt;2026+Assumptions!$G$38),$C$15*(1+Assumptions!$G$43)/Assumptions!$G$38,0)+IF(AND(2030&gt;=2027,2030&lt;2027+Assumptions!$G$38),$D$15*(1+Assumptions!$G$43)/Assumptions!$G$38,0)+IF(AND(2030&gt;=2029,2030&lt;2029+Assumptions!$G$38),$F$16*(1+Assumptions!$G$43)/Assumptions!$G$38,0)+IF(AND(2030&gt;=2030,2030&lt;2030+Assumptions!$G$38),$G$16*(1+Assumptions!$G$43)/Assumptions!$G$38,0)</f>
        <v/>
      </c>
      <c r="H33" s="38">
        <f>IF(AND(2031&gt;=2026,2031&lt;2026+Assumptions!$G$38),$C$15*(1+Assumptions!$G$43)/Assumptions!$G$38,0)+IF(AND(2031&gt;=2027,2031&lt;2027+Assumptions!$G$38),$D$15*(1+Assumptions!$G$43)/Assumptions!$G$38,0)+IF(AND(2031&gt;=2029,2031&lt;2029+Assumptions!$G$38),$F$16*(1+Assumptions!$G$43)/Assumptions!$G$38,0)+IF(AND(2031&gt;=2030,2031&lt;2030+Assumptions!$G$38),$G$16*(1+Assumptions!$G$43)/Assumptions!$G$38,0)</f>
        <v/>
      </c>
      <c r="I33" s="38">
        <f>IF(AND(2032&gt;=2026,2032&lt;2026+Assumptions!$G$38),$C$15*(1+Assumptions!$G$43)/Assumptions!$G$38,0)+IF(AND(2032&gt;=2027,2032&lt;2027+Assumptions!$G$38),$D$15*(1+Assumptions!$G$43)/Assumptions!$G$38,0)+IF(AND(2032&gt;=2029,2032&lt;2029+Assumptions!$G$38),$F$16*(1+Assumptions!$G$43)/Assumptions!$G$38,0)+IF(AND(2032&gt;=2030,2032&lt;2030+Assumptions!$G$38),$G$16*(1+Assumptions!$G$43)/Assumptions!$G$38,0)</f>
        <v/>
      </c>
      <c r="J33" s="38">
        <f>IF(AND(2033&gt;=2026,2033&lt;2026+Assumptions!$G$38),$C$15*(1+Assumptions!$G$43)/Assumptions!$G$38,0)+IF(AND(2033&gt;=2027,2033&lt;2027+Assumptions!$G$38),$D$15*(1+Assumptions!$G$43)/Assumptions!$G$38,0)+IF(AND(2033&gt;=2029,2033&lt;2029+Assumptions!$G$38),$F$16*(1+Assumptions!$G$43)/Assumptions!$G$38,0)+IF(AND(2033&gt;=2030,2033&lt;2030+Assumptions!$G$38),$G$16*(1+Assumptions!$G$43)/Assumptions!$G$38,0)</f>
        <v/>
      </c>
      <c r="K33" s="38">
        <f>IF(AND(2034&gt;=2026,2034&lt;2026+Assumptions!$G$38),$C$15*(1+Assumptions!$G$43)/Assumptions!$G$38,0)+IF(AND(2034&gt;=2027,2034&lt;2027+Assumptions!$G$38),$D$15*(1+Assumptions!$G$43)/Assumptions!$G$38,0)+IF(AND(2034&gt;=2029,2034&lt;2029+Assumptions!$G$38),$F$16*(1+Assumptions!$G$43)/Assumptions!$G$38,0)+IF(AND(2034&gt;=2030,2034&lt;2030+Assumptions!$G$38),$G$16*(1+Assumptions!$G$43)/Assumptions!$G$38,0)</f>
        <v/>
      </c>
      <c r="L33" s="38">
        <f>IF(AND(2035&gt;=2026,2035&lt;2026+Assumptions!$G$38),$C$15*(1+Assumptions!$G$43)/Assumptions!$G$38,0)+IF(AND(2035&gt;=2027,2035&lt;2027+Assumptions!$G$38),$D$15*(1+Assumptions!$G$43)/Assumptions!$G$38,0)+IF(AND(2035&gt;=2029,2035&lt;2029+Assumptions!$G$38),$F$16*(1+Assumptions!$G$43)/Assumptions!$G$38,0)+IF(AND(2035&gt;=2030,2035&lt;2030+Assumptions!$G$38),$G$16*(1+Assumptions!$G$43)/Assumptions!$G$38,0)</f>
        <v/>
      </c>
      <c r="M33" s="38">
        <f>IF(AND(2036&gt;=2026,2036&lt;2026+Assumptions!$G$38),$C$15*(1+Assumptions!$G$43)/Assumptions!$G$38,0)+IF(AND(2036&gt;=2027,2036&lt;2027+Assumptions!$G$38),$D$15*(1+Assumptions!$G$43)/Assumptions!$G$38,0)+IF(AND(2036&gt;=2029,2036&lt;2029+Assumptions!$G$38),$F$16*(1+Assumptions!$G$43)/Assumptions!$G$38,0)+IF(AND(2036&gt;=2030,2036&lt;2030+Assumptions!$G$38),$G$16*(1+Assumptions!$G$43)/Assumptions!$G$38,0)</f>
        <v/>
      </c>
      <c r="N33" s="38">
        <f>IF(AND(2037&gt;=2026,2037&lt;2026+Assumptions!$G$38),$C$15*(1+Assumptions!$G$43)/Assumptions!$G$38,0)+IF(AND(2037&gt;=2027,2037&lt;2027+Assumptions!$G$38),$D$15*(1+Assumptions!$G$43)/Assumptions!$G$38,0)+IF(AND(2037&gt;=2029,2037&lt;2029+Assumptions!$G$38),$F$16*(1+Assumptions!$G$43)/Assumptions!$G$38,0)+IF(AND(2037&gt;=2030,2037&lt;2030+Assumptions!$G$38),$G$16*(1+Assumptions!$G$43)/Assumptions!$G$38,0)</f>
        <v/>
      </c>
    </row>
    <row r="34">
      <c r="A34" t="inlineStr">
        <is>
          <t>Vehicles</t>
        </is>
      </c>
      <c r="B34" t="inlineStr">
        <is>
          <t>$G$40</t>
        </is>
      </c>
      <c r="C34" s="38">
        <f>IF(AND(2026&gt;=2027,2026&lt;2027+Assumptions!$G$40),$D$17*(1+Assumptions!$G$43)/Assumptions!$G$40,0)+IF(AND(2026&gt;=2028,2026&lt;2028+Assumptions!$G$40),$E$17*(1+Assumptions!$G$43)/Assumptions!$G$40,0)+IF(AND(2026&gt;=2029,2026&lt;2029+Assumptions!$G$40),$F$18*(1+Assumptions!$G$43)/Assumptions!$G$40,0)+IF(AND(2026&gt;=2030,2026&lt;2030+Assumptions!$G$40),$G$18*(1+Assumptions!$G$43)/Assumptions!$G$40,0)</f>
        <v/>
      </c>
      <c r="D34" s="38">
        <f>IF(AND(2027&gt;=2027,2027&lt;2027+Assumptions!$G$40),$D$17*(1+Assumptions!$G$43)/Assumptions!$G$40,0)+IF(AND(2027&gt;=2028,2027&lt;2028+Assumptions!$G$40),$E$17*(1+Assumptions!$G$43)/Assumptions!$G$40,0)+IF(AND(2027&gt;=2029,2027&lt;2029+Assumptions!$G$40),$F$18*(1+Assumptions!$G$43)/Assumptions!$G$40,0)+IF(AND(2027&gt;=2030,2027&lt;2030+Assumptions!$G$40),$G$18*(1+Assumptions!$G$43)/Assumptions!$G$40,0)</f>
        <v/>
      </c>
      <c r="E34" s="38">
        <f>IF(AND(2028&gt;=2027,2028&lt;2027+Assumptions!$G$40),$D$17*(1+Assumptions!$G$43)/Assumptions!$G$40,0)+IF(AND(2028&gt;=2028,2028&lt;2028+Assumptions!$G$40),$E$17*(1+Assumptions!$G$43)/Assumptions!$G$40,0)+IF(AND(2028&gt;=2029,2028&lt;2029+Assumptions!$G$40),$F$18*(1+Assumptions!$G$43)/Assumptions!$G$40,0)+IF(AND(2028&gt;=2030,2028&lt;2030+Assumptions!$G$40),$G$18*(1+Assumptions!$G$43)/Assumptions!$G$40,0)</f>
        <v/>
      </c>
      <c r="F34" s="38">
        <f>IF(AND(2029&gt;=2027,2029&lt;2027+Assumptions!$G$40),$D$17*(1+Assumptions!$G$43)/Assumptions!$G$40,0)+IF(AND(2029&gt;=2028,2029&lt;2028+Assumptions!$G$40),$E$17*(1+Assumptions!$G$43)/Assumptions!$G$40,0)+IF(AND(2029&gt;=2029,2029&lt;2029+Assumptions!$G$40),$F$18*(1+Assumptions!$G$43)/Assumptions!$G$40,0)+IF(AND(2029&gt;=2030,2029&lt;2030+Assumptions!$G$40),$G$18*(1+Assumptions!$G$43)/Assumptions!$G$40,0)</f>
        <v/>
      </c>
      <c r="G34" s="38">
        <f>IF(AND(2030&gt;=2027,2030&lt;2027+Assumptions!$G$40),$D$17*(1+Assumptions!$G$43)/Assumptions!$G$40,0)+IF(AND(2030&gt;=2028,2030&lt;2028+Assumptions!$G$40),$E$17*(1+Assumptions!$G$43)/Assumptions!$G$40,0)+IF(AND(2030&gt;=2029,2030&lt;2029+Assumptions!$G$40),$F$18*(1+Assumptions!$G$43)/Assumptions!$G$40,0)+IF(AND(2030&gt;=2030,2030&lt;2030+Assumptions!$G$40),$G$18*(1+Assumptions!$G$43)/Assumptions!$G$40,0)</f>
        <v/>
      </c>
      <c r="H34" s="38">
        <f>IF(AND(2031&gt;=2027,2031&lt;2027+Assumptions!$G$40),$D$17*(1+Assumptions!$G$43)/Assumptions!$G$40,0)+IF(AND(2031&gt;=2028,2031&lt;2028+Assumptions!$G$40),$E$17*(1+Assumptions!$G$43)/Assumptions!$G$40,0)+IF(AND(2031&gt;=2029,2031&lt;2029+Assumptions!$G$40),$F$18*(1+Assumptions!$G$43)/Assumptions!$G$40,0)+IF(AND(2031&gt;=2030,2031&lt;2030+Assumptions!$G$40),$G$18*(1+Assumptions!$G$43)/Assumptions!$G$40,0)</f>
        <v/>
      </c>
      <c r="I34" s="38">
        <f>IF(AND(2032&gt;=2027,2032&lt;2027+Assumptions!$G$40),$D$17*(1+Assumptions!$G$43)/Assumptions!$G$40,0)+IF(AND(2032&gt;=2028,2032&lt;2028+Assumptions!$G$40),$E$17*(1+Assumptions!$G$43)/Assumptions!$G$40,0)+IF(AND(2032&gt;=2029,2032&lt;2029+Assumptions!$G$40),$F$18*(1+Assumptions!$G$43)/Assumptions!$G$40,0)+IF(AND(2032&gt;=2030,2032&lt;2030+Assumptions!$G$40),$G$18*(1+Assumptions!$G$43)/Assumptions!$G$40,0)</f>
        <v/>
      </c>
      <c r="J34" s="38">
        <f>IF(AND(2033&gt;=2027,2033&lt;2027+Assumptions!$G$40),$D$17*(1+Assumptions!$G$43)/Assumptions!$G$40,0)+IF(AND(2033&gt;=2028,2033&lt;2028+Assumptions!$G$40),$E$17*(1+Assumptions!$G$43)/Assumptions!$G$40,0)+IF(AND(2033&gt;=2029,2033&lt;2029+Assumptions!$G$40),$F$18*(1+Assumptions!$G$43)/Assumptions!$G$40,0)+IF(AND(2033&gt;=2030,2033&lt;2030+Assumptions!$G$40),$G$18*(1+Assumptions!$G$43)/Assumptions!$G$40,0)</f>
        <v/>
      </c>
      <c r="K34" s="38">
        <f>IF(AND(2034&gt;=2027,2034&lt;2027+Assumptions!$G$40),$D$17*(1+Assumptions!$G$43)/Assumptions!$G$40,0)+IF(AND(2034&gt;=2028,2034&lt;2028+Assumptions!$G$40),$E$17*(1+Assumptions!$G$43)/Assumptions!$G$40,0)+IF(AND(2034&gt;=2029,2034&lt;2029+Assumptions!$G$40),$F$18*(1+Assumptions!$G$43)/Assumptions!$G$40,0)+IF(AND(2034&gt;=2030,2034&lt;2030+Assumptions!$G$40),$G$18*(1+Assumptions!$G$43)/Assumptions!$G$40,0)</f>
        <v/>
      </c>
      <c r="L34" s="38">
        <f>IF(AND(2035&gt;=2027,2035&lt;2027+Assumptions!$G$40),$D$17*(1+Assumptions!$G$43)/Assumptions!$G$40,0)+IF(AND(2035&gt;=2028,2035&lt;2028+Assumptions!$G$40),$E$17*(1+Assumptions!$G$43)/Assumptions!$G$40,0)+IF(AND(2035&gt;=2029,2035&lt;2029+Assumptions!$G$40),$F$18*(1+Assumptions!$G$43)/Assumptions!$G$40,0)+IF(AND(2035&gt;=2030,2035&lt;2030+Assumptions!$G$40),$G$18*(1+Assumptions!$G$43)/Assumptions!$G$40,0)</f>
        <v/>
      </c>
      <c r="M34" s="38">
        <f>IF(AND(2036&gt;=2027,2036&lt;2027+Assumptions!$G$40),$D$17*(1+Assumptions!$G$43)/Assumptions!$G$40,0)+IF(AND(2036&gt;=2028,2036&lt;2028+Assumptions!$G$40),$E$17*(1+Assumptions!$G$43)/Assumptions!$G$40,0)+IF(AND(2036&gt;=2029,2036&lt;2029+Assumptions!$G$40),$F$18*(1+Assumptions!$G$43)/Assumptions!$G$40,0)+IF(AND(2036&gt;=2030,2036&lt;2030+Assumptions!$G$40),$G$18*(1+Assumptions!$G$43)/Assumptions!$G$40,0)</f>
        <v/>
      </c>
      <c r="N34" s="38">
        <f>IF(AND(2037&gt;=2027,2037&lt;2027+Assumptions!$G$40),$D$17*(1+Assumptions!$G$43)/Assumptions!$G$40,0)+IF(AND(2037&gt;=2028,2037&lt;2028+Assumptions!$G$40),$E$17*(1+Assumptions!$G$43)/Assumptions!$G$40,0)+IF(AND(2037&gt;=2029,2037&lt;2029+Assumptions!$G$40),$F$18*(1+Assumptions!$G$43)/Assumptions!$G$40,0)+IF(AND(2037&gt;=2030,2037&lt;2030+Assumptions!$G$40),$G$18*(1+Assumptions!$G$43)/Assumptions!$G$40,0)</f>
        <v/>
      </c>
    </row>
    <row r="35">
      <c r="A35" t="inlineStr">
        <is>
          <t>Setup costs</t>
        </is>
      </c>
      <c r="B35" t="inlineStr">
        <is>
          <t>$G$42</t>
        </is>
      </c>
      <c r="C35" s="38">
        <f>IF(AND(2026&gt;=2026,2026&lt;2026+Assumptions!$G$42),$C$19/Assumptions!$G$42,0)+IF(AND(2026&gt;=2027,2026&lt;2027+Assumptions!$G$42),$D$19/Assumptions!$G$42,0)+IF(AND(2026&gt;=2029,2026&lt;2029+Assumptions!$G$42),$F$20/Assumptions!$G$42,0)+IF(AND(2026&gt;=2030,2026&lt;2030+Assumptions!$G$42),$G$20/Assumptions!$G$42,0)</f>
        <v/>
      </c>
      <c r="D35" s="38">
        <f>IF(AND(2027&gt;=2026,2027&lt;2026+Assumptions!$G$42),$C$19/Assumptions!$G$42,0)+IF(AND(2027&gt;=2027,2027&lt;2027+Assumptions!$G$42),$D$19/Assumptions!$G$42,0)+IF(AND(2027&gt;=2029,2027&lt;2029+Assumptions!$G$42),$F$20/Assumptions!$G$42,0)+IF(AND(2027&gt;=2030,2027&lt;2030+Assumptions!$G$42),$G$20/Assumptions!$G$42,0)</f>
        <v/>
      </c>
      <c r="E35" s="38">
        <f>IF(AND(2028&gt;=2026,2028&lt;2026+Assumptions!$G$42),$C$19/Assumptions!$G$42,0)+IF(AND(2028&gt;=2027,2028&lt;2027+Assumptions!$G$42),$D$19/Assumptions!$G$42,0)+IF(AND(2028&gt;=2029,2028&lt;2029+Assumptions!$G$42),$F$20/Assumptions!$G$42,0)+IF(AND(2028&gt;=2030,2028&lt;2030+Assumptions!$G$42),$G$20/Assumptions!$G$42,0)</f>
        <v/>
      </c>
      <c r="F35" s="38">
        <f>IF(AND(2029&gt;=2026,2029&lt;2026+Assumptions!$G$42),$C$19/Assumptions!$G$42,0)+IF(AND(2029&gt;=2027,2029&lt;2027+Assumptions!$G$42),$D$19/Assumptions!$G$42,0)+IF(AND(2029&gt;=2029,2029&lt;2029+Assumptions!$G$42),$F$20/Assumptions!$G$42,0)+IF(AND(2029&gt;=2030,2029&lt;2030+Assumptions!$G$42),$G$20/Assumptions!$G$42,0)</f>
        <v/>
      </c>
      <c r="G35" s="38">
        <f>IF(AND(2030&gt;=2026,2030&lt;2026+Assumptions!$G$42),$C$19/Assumptions!$G$42,0)+IF(AND(2030&gt;=2027,2030&lt;2027+Assumptions!$G$42),$D$19/Assumptions!$G$42,0)+IF(AND(2030&gt;=2029,2030&lt;2029+Assumptions!$G$42),$F$20/Assumptions!$G$42,0)+IF(AND(2030&gt;=2030,2030&lt;2030+Assumptions!$G$42),$G$20/Assumptions!$G$42,0)</f>
        <v/>
      </c>
      <c r="H35" s="38">
        <f>IF(AND(2031&gt;=2026,2031&lt;2026+Assumptions!$G$42),$C$19/Assumptions!$G$42,0)+IF(AND(2031&gt;=2027,2031&lt;2027+Assumptions!$G$42),$D$19/Assumptions!$G$42,0)+IF(AND(2031&gt;=2029,2031&lt;2029+Assumptions!$G$42),$F$20/Assumptions!$G$42,0)+IF(AND(2031&gt;=2030,2031&lt;2030+Assumptions!$G$42),$G$20/Assumptions!$G$42,0)</f>
        <v/>
      </c>
      <c r="I35" s="38">
        <f>IF(AND(2032&gt;=2026,2032&lt;2026+Assumptions!$G$42),$C$19/Assumptions!$G$42,0)+IF(AND(2032&gt;=2027,2032&lt;2027+Assumptions!$G$42),$D$19/Assumptions!$G$42,0)+IF(AND(2032&gt;=2029,2032&lt;2029+Assumptions!$G$42),$F$20/Assumptions!$G$42,0)+IF(AND(2032&gt;=2030,2032&lt;2030+Assumptions!$G$42),$G$20/Assumptions!$G$42,0)</f>
        <v/>
      </c>
      <c r="J35" s="38">
        <f>IF(AND(2033&gt;=2026,2033&lt;2026+Assumptions!$G$42),$C$19/Assumptions!$G$42,0)+IF(AND(2033&gt;=2027,2033&lt;2027+Assumptions!$G$42),$D$19/Assumptions!$G$42,0)+IF(AND(2033&gt;=2029,2033&lt;2029+Assumptions!$G$42),$F$20/Assumptions!$G$42,0)+IF(AND(2033&gt;=2030,2033&lt;2030+Assumptions!$G$42),$G$20/Assumptions!$G$42,0)</f>
        <v/>
      </c>
      <c r="K35" s="38">
        <f>IF(AND(2034&gt;=2026,2034&lt;2026+Assumptions!$G$42),$C$19/Assumptions!$G$42,0)+IF(AND(2034&gt;=2027,2034&lt;2027+Assumptions!$G$42),$D$19/Assumptions!$G$42,0)+IF(AND(2034&gt;=2029,2034&lt;2029+Assumptions!$G$42),$F$20/Assumptions!$G$42,0)+IF(AND(2034&gt;=2030,2034&lt;2030+Assumptions!$G$42),$G$20/Assumptions!$G$42,0)</f>
        <v/>
      </c>
      <c r="L35" s="38">
        <f>IF(AND(2035&gt;=2026,2035&lt;2026+Assumptions!$G$42),$C$19/Assumptions!$G$42,0)+IF(AND(2035&gt;=2027,2035&lt;2027+Assumptions!$G$42),$D$19/Assumptions!$G$42,0)+IF(AND(2035&gt;=2029,2035&lt;2029+Assumptions!$G$42),$F$20/Assumptions!$G$42,0)+IF(AND(2035&gt;=2030,2035&lt;2030+Assumptions!$G$42),$G$20/Assumptions!$G$42,0)</f>
        <v/>
      </c>
      <c r="M35" s="38">
        <f>IF(AND(2036&gt;=2026,2036&lt;2026+Assumptions!$G$42),$C$19/Assumptions!$G$42,0)+IF(AND(2036&gt;=2027,2036&lt;2027+Assumptions!$G$42),$D$19/Assumptions!$G$42,0)+IF(AND(2036&gt;=2029,2036&lt;2029+Assumptions!$G$42),$F$20/Assumptions!$G$42,0)+IF(AND(2036&gt;=2030,2036&lt;2030+Assumptions!$G$42),$G$20/Assumptions!$G$42,0)</f>
        <v/>
      </c>
      <c r="N35" s="38">
        <f>IF(AND(2037&gt;=2026,2037&lt;2026+Assumptions!$G$42),$C$19/Assumptions!$G$42,0)+IF(AND(2037&gt;=2027,2037&lt;2027+Assumptions!$G$42),$D$19/Assumptions!$G$42,0)+IF(AND(2037&gt;=2029,2037&lt;2029+Assumptions!$G$42),$F$20/Assumptions!$G$42,0)+IF(AND(2037&gt;=2030,2037&lt;2030+Assumptions!$G$42),$G$20/Assumptions!$G$42,0)</f>
        <v/>
      </c>
    </row>
    <row r="36">
      <c r="A36" s="3" t="inlineStr">
        <is>
          <t>TOTAL DEPRECIATION</t>
        </is>
      </c>
      <c r="B36" s="3" t="inlineStr">
        <is>
          <t>AED m</t>
        </is>
      </c>
      <c r="C36" s="39">
        <f>SUM(C31:C35)</f>
        <v/>
      </c>
      <c r="D36" s="39">
        <f>SUM(D31:D35)</f>
        <v/>
      </c>
      <c r="E36" s="39">
        <f>SUM(E31:E35)</f>
        <v/>
      </c>
      <c r="F36" s="39">
        <f>SUM(F31:F35)</f>
        <v/>
      </c>
      <c r="G36" s="39">
        <f>SUM(G31:G35)</f>
        <v/>
      </c>
      <c r="H36" s="39">
        <f>SUM(H31:H35)</f>
        <v/>
      </c>
      <c r="I36" s="39">
        <f>SUM(I31:I35)</f>
        <v/>
      </c>
      <c r="J36" s="39">
        <f>SUM(J31:J35)</f>
        <v/>
      </c>
      <c r="K36" s="39">
        <f>SUM(K31:K35)</f>
        <v/>
      </c>
      <c r="L36" s="39">
        <f>SUM(L31:L35)</f>
        <v/>
      </c>
      <c r="M36" s="39">
        <f>SUM(M31:M35)</f>
        <v/>
      </c>
      <c r="N36" s="39">
        <f>SUM(N31:N35)</f>
        <v/>
      </c>
    </row>
    <row r="37"/>
    <row r="38">
      <c r="A38" t="inlineStr">
        <is>
          <t>RVMs cumulative (end-year)</t>
        </is>
      </c>
      <c r="B38" t="inlineStr">
        <is>
          <t>units</t>
        </is>
      </c>
      <c r="C38" s="37" t="n">
        <v>0</v>
      </c>
      <c r="D38" s="37">
        <f>D7+D8</f>
        <v/>
      </c>
      <c r="E38" s="37">
        <f>D38+E7+E8</f>
        <v/>
      </c>
      <c r="F38" s="37">
        <f>E38+F7+F8</f>
        <v/>
      </c>
      <c r="G38" s="37">
        <f>F38+G7+G8</f>
        <v/>
      </c>
      <c r="H38" s="37">
        <f>$G$38</f>
        <v/>
      </c>
      <c r="I38" s="37">
        <f>$G$38</f>
        <v/>
      </c>
      <c r="J38" s="37">
        <f>$G$38</f>
        <v/>
      </c>
      <c r="K38" s="37">
        <f>$G$38</f>
        <v/>
      </c>
      <c r="L38" s="37">
        <f>$G$38</f>
        <v/>
      </c>
      <c r="M38" s="37">
        <f>$G$38</f>
        <v/>
      </c>
      <c r="N38" s="37">
        <f>$G$38</f>
        <v/>
      </c>
    </row>
    <row r="39">
      <c r="A39" t="inlineStr">
        <is>
          <t>RVMs average in service</t>
        </is>
      </c>
      <c r="B39" t="inlineStr">
        <is>
          <t>units</t>
        </is>
      </c>
      <c r="C39" s="37" t="n">
        <v>0</v>
      </c>
      <c r="D39" s="37">
        <f>D38/2</f>
        <v/>
      </c>
      <c r="E39" s="37">
        <f>(D38+E38)/2</f>
        <v/>
      </c>
      <c r="F39" s="37">
        <f>(E38+F38)/2</f>
        <v/>
      </c>
      <c r="G39" s="37">
        <f>(F38+G38)/2</f>
        <v/>
      </c>
      <c r="H39" s="37">
        <f>$G$38</f>
        <v/>
      </c>
      <c r="I39" s="37">
        <f>$G$38</f>
        <v/>
      </c>
      <c r="J39" s="37">
        <f>$G$38</f>
        <v/>
      </c>
      <c r="K39" s="37">
        <f>$G$38</f>
        <v/>
      </c>
      <c r="L39" s="37">
        <f>$G$38</f>
        <v/>
      </c>
      <c r="M39" s="37">
        <f>$G$38</f>
        <v/>
      </c>
      <c r="N39" s="37">
        <f>$G$38</f>
        <v/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64"/>
  <sheetViews>
    <sheetView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8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42" customWidth="1" min="15" max="15"/>
  </cols>
  <sheetData>
    <row r="1">
      <c r="A1" s="1" t="inlineStr">
        <is>
          <t>Phased Scenario - System Operator SPV Profit &amp; Loss (2026-2037)</t>
        </is>
      </c>
    </row>
    <row r="2">
      <c r="A2" s="34" t="inlineStr">
        <is>
          <t>AED millions. Phase 1: Dubai + Abu Dhabi (65% of POM) from H2 2028; Phase 2: national from 2030. Unit costs, fees, prices, ramp inherited live from Assumptions. Unredeemed deposits are NEVER revenue.</t>
        </is>
      </c>
    </row>
    <row r="3"/>
    <row r="4"/>
    <row r="5">
      <c r="A5" s="31" t="inlineStr">
        <is>
          <t>Line</t>
        </is>
      </c>
      <c r="B5" s="31" t="inlineStr">
        <is>
          <t>Unit</t>
        </is>
      </c>
      <c r="C5" s="31" t="n">
        <v>2026</v>
      </c>
      <c r="D5" s="31" t="n">
        <v>2027</v>
      </c>
      <c r="E5" s="31" t="n">
        <v>2028</v>
      </c>
      <c r="F5" s="31" t="n">
        <v>2029</v>
      </c>
      <c r="G5" s="31" t="n">
        <v>2030</v>
      </c>
      <c r="H5" s="31" t="n">
        <v>2031</v>
      </c>
      <c r="I5" s="31" t="n">
        <v>2032</v>
      </c>
      <c r="J5" s="31" t="n">
        <v>2033</v>
      </c>
      <c r="K5" s="31" t="n">
        <v>2034</v>
      </c>
      <c r="L5" s="31" t="n">
        <v>2035</v>
      </c>
      <c r="M5" s="31" t="n">
        <v>2036</v>
      </c>
      <c r="N5" s="31" t="n">
        <v>2037</v>
      </c>
      <c r="O5" s="31" t="inlineStr">
        <is>
          <t>Source</t>
        </is>
      </c>
    </row>
    <row r="6">
      <c r="A6" s="6" t="inlineStr">
        <is>
          <t>A - MARKET: COVERED POM &amp; RETURNED VOLUMES (FROM 2028)</t>
        </is>
      </c>
    </row>
    <row r="7">
      <c r="A7" t="inlineStr">
        <is>
          <t>Growth factor (from 2028)</t>
        </is>
      </c>
      <c r="B7" t="inlineStr">
        <is>
          <t>x</t>
        </is>
      </c>
      <c r="C7" s="40">
        <f>(1+Assumptions!$G$18)^MAX(0,2026-2028)</f>
        <v/>
      </c>
      <c r="D7" s="40">
        <f>(1+Assumptions!$G$18)^MAX(0,2027-2028)</f>
        <v/>
      </c>
      <c r="E7" s="40">
        <f>(1+Assumptions!$G$18)^MAX(0,2028-2028)</f>
        <v/>
      </c>
      <c r="F7" s="40">
        <f>(1+Assumptions!$G$18)^MAX(0,2029-2028)</f>
        <v/>
      </c>
      <c r="G7" s="40">
        <f>(1+Assumptions!$G$18)^MAX(0,2030-2028)</f>
        <v/>
      </c>
      <c r="H7" s="40">
        <f>(1+Assumptions!$G$18)^MAX(0,2031-2028)</f>
        <v/>
      </c>
      <c r="I7" s="40">
        <f>(1+Assumptions!$G$18)^MAX(0,2032-2028)</f>
        <v/>
      </c>
      <c r="J7" s="40">
        <f>(1+Assumptions!$G$18)^MAX(0,2033-2028)</f>
        <v/>
      </c>
      <c r="K7" s="40">
        <f>(1+Assumptions!$G$18)^MAX(0,2034-2028)</f>
        <v/>
      </c>
      <c r="L7" s="40">
        <f>(1+Assumptions!$G$18)^MAX(0,2035-2028)</f>
        <v/>
      </c>
      <c r="M7" s="40">
        <f>(1+Assumptions!$G$18)^MAX(0,2036-2028)</f>
        <v/>
      </c>
      <c r="N7" s="40">
        <f>(1+Assumptions!$G$18)^MAX(0,2037-2028)</f>
        <v/>
      </c>
    </row>
    <row r="8">
      <c r="A8" t="inlineStr">
        <is>
          <t>Escalation factor (from 2028)</t>
        </is>
      </c>
      <c r="B8" t="inlineStr">
        <is>
          <t>x</t>
        </is>
      </c>
      <c r="C8" s="40">
        <f>(1+Assumptions!$G$11)^MAX(0,2026-2028)</f>
        <v/>
      </c>
      <c r="D8" s="40">
        <f>(1+Assumptions!$G$11)^MAX(0,2027-2028)</f>
        <v/>
      </c>
      <c r="E8" s="40">
        <f>(1+Assumptions!$G$11)^MAX(0,2028-2028)</f>
        <v/>
      </c>
      <c r="F8" s="40">
        <f>(1+Assumptions!$G$11)^MAX(0,2029-2028)</f>
        <v/>
      </c>
      <c r="G8" s="40">
        <f>(1+Assumptions!$G$11)^MAX(0,2030-2028)</f>
        <v/>
      </c>
      <c r="H8" s="40">
        <f>(1+Assumptions!$G$11)^MAX(0,2031-2028)</f>
        <v/>
      </c>
      <c r="I8" s="40">
        <f>(1+Assumptions!$G$11)^MAX(0,2032-2028)</f>
        <v/>
      </c>
      <c r="J8" s="40">
        <f>(1+Assumptions!$G$11)^MAX(0,2033-2028)</f>
        <v/>
      </c>
      <c r="K8" s="40">
        <f>(1+Assumptions!$G$11)^MAX(0,2034-2028)</f>
        <v/>
      </c>
      <c r="L8" s="40">
        <f>(1+Assumptions!$G$11)^MAX(0,2035-2028)</f>
        <v/>
      </c>
      <c r="M8" s="40">
        <f>(1+Assumptions!$G$11)^MAX(0,2036-2028)</f>
        <v/>
      </c>
      <c r="N8" s="40">
        <f>(1+Assumptions!$G$11)^MAX(0,2037-2028)</f>
        <v/>
      </c>
    </row>
    <row r="9">
      <c r="A9" t="inlineStr">
        <is>
          <t>POM - PET (national, bn)</t>
        </is>
      </c>
      <c r="B9" t="inlineStr">
        <is>
          <t>bn</t>
        </is>
      </c>
      <c r="C9" s="41">
        <f>IF(2026&lt;2028,0,Assumptions!$G$15*C7)</f>
        <v/>
      </c>
      <c r="D9" s="41">
        <f>IF(2027&lt;2028,0,Assumptions!$G$15*D7)</f>
        <v/>
      </c>
      <c r="E9" s="41">
        <f>IF(2028&lt;2028,0,Assumptions!$G$15*E7)</f>
        <v/>
      </c>
      <c r="F9" s="41">
        <f>IF(2029&lt;2028,0,Assumptions!$G$15*F7)</f>
        <v/>
      </c>
      <c r="G9" s="41">
        <f>IF(2030&lt;2028,0,Assumptions!$G$15*G7)</f>
        <v/>
      </c>
      <c r="H9" s="41">
        <f>IF(2031&lt;2028,0,Assumptions!$G$15*H7)</f>
        <v/>
      </c>
      <c r="I9" s="41">
        <f>IF(2032&lt;2028,0,Assumptions!$G$15*I7)</f>
        <v/>
      </c>
      <c r="J9" s="41">
        <f>IF(2033&lt;2028,0,Assumptions!$G$15*J7)</f>
        <v/>
      </c>
      <c r="K9" s="41">
        <f>IF(2034&lt;2028,0,Assumptions!$G$15*K7)</f>
        <v/>
      </c>
      <c r="L9" s="41">
        <f>IF(2035&lt;2028,0,Assumptions!$G$15*L7)</f>
        <v/>
      </c>
      <c r="M9" s="41">
        <f>IF(2036&lt;2028,0,Assumptions!$G$15*M7)</f>
        <v/>
      </c>
      <c r="N9" s="41">
        <f>IF(2037&lt;2028,0,Assumptions!$G$15*N7)</f>
        <v/>
      </c>
      <c r="O9" t="inlineStr">
        <is>
          <t>R5 survey mid-range (caveat applies)</t>
        </is>
      </c>
    </row>
    <row r="10">
      <c r="A10" t="inlineStr">
        <is>
          <t>POM - Aluminium (national, bn)</t>
        </is>
      </c>
      <c r="B10" t="inlineStr">
        <is>
          <t>bn</t>
        </is>
      </c>
      <c r="C10" s="41">
        <f>IF(2026&lt;2028,0,Assumptions!$G$16*C7)</f>
        <v/>
      </c>
      <c r="D10" s="41">
        <f>IF(2027&lt;2028,0,Assumptions!$G$16*D7)</f>
        <v/>
      </c>
      <c r="E10" s="41">
        <f>IF(2028&lt;2028,0,Assumptions!$G$16*E7)</f>
        <v/>
      </c>
      <c r="F10" s="41">
        <f>IF(2029&lt;2028,0,Assumptions!$G$16*F7)</f>
        <v/>
      </c>
      <c r="G10" s="41">
        <f>IF(2030&lt;2028,0,Assumptions!$G$16*G7)</f>
        <v/>
      </c>
      <c r="H10" s="41">
        <f>IF(2031&lt;2028,0,Assumptions!$G$16*H7)</f>
        <v/>
      </c>
      <c r="I10" s="41">
        <f>IF(2032&lt;2028,0,Assumptions!$G$16*I7)</f>
        <v/>
      </c>
      <c r="J10" s="41">
        <f>IF(2033&lt;2028,0,Assumptions!$G$16*J7)</f>
        <v/>
      </c>
      <c r="K10" s="41">
        <f>IF(2034&lt;2028,0,Assumptions!$G$16*K7)</f>
        <v/>
      </c>
      <c r="L10" s="41">
        <f>IF(2035&lt;2028,0,Assumptions!$G$16*L7)</f>
        <v/>
      </c>
      <c r="M10" s="41">
        <f>IF(2036&lt;2028,0,Assumptions!$G$16*M7)</f>
        <v/>
      </c>
      <c r="N10" s="41">
        <f>IF(2037&lt;2028,0,Assumptions!$G$16*N7)</f>
        <v/>
      </c>
      <c r="O10" t="inlineStr">
        <is>
          <t>EGA 2024 (R3)</t>
        </is>
      </c>
    </row>
    <row r="11">
      <c r="A11" t="inlineStr">
        <is>
          <t>POM - Glass (national, bn)</t>
        </is>
      </c>
      <c r="B11" t="inlineStr">
        <is>
          <t>bn</t>
        </is>
      </c>
      <c r="C11" s="41">
        <f>IF(2026&lt;2028,0,Assumptions!$G$17*C7)</f>
        <v/>
      </c>
      <c r="D11" s="41">
        <f>IF(2027&lt;2028,0,Assumptions!$G$17*D7)</f>
        <v/>
      </c>
      <c r="E11" s="41">
        <f>IF(2028&lt;2028,0,Assumptions!$G$17*E7)</f>
        <v/>
      </c>
      <c r="F11" s="41">
        <f>IF(2029&lt;2028,0,Assumptions!$G$17*F7)</f>
        <v/>
      </c>
      <c r="G11" s="41">
        <f>IF(2030&lt;2028,0,Assumptions!$G$17*G7)</f>
        <v/>
      </c>
      <c r="H11" s="41">
        <f>IF(2031&lt;2028,0,Assumptions!$G$17*H7)</f>
        <v/>
      </c>
      <c r="I11" s="41">
        <f>IF(2032&lt;2028,0,Assumptions!$G$17*I7)</f>
        <v/>
      </c>
      <c r="J11" s="41">
        <f>IF(2033&lt;2028,0,Assumptions!$G$17*J7)</f>
        <v/>
      </c>
      <c r="K11" s="41">
        <f>IF(2034&lt;2028,0,Assumptions!$G$17*K7)</f>
        <v/>
      </c>
      <c r="L11" s="41">
        <f>IF(2035&lt;2028,0,Assumptions!$G$17*L7)</f>
        <v/>
      </c>
      <c r="M11" s="41">
        <f>IF(2036&lt;2028,0,Assumptions!$G$17*M7)</f>
        <v/>
      </c>
      <c r="N11" s="41">
        <f>IF(2037&lt;2028,0,Assumptions!$G$17*N7)</f>
        <v/>
      </c>
      <c r="O11" t="inlineStr">
        <is>
          <t>[ESTIMATE] R3/R5 gap</t>
        </is>
      </c>
    </row>
    <row r="12">
      <c r="A12" t="inlineStr">
        <is>
          <t>Coverage - Phase 1 (share of POM)</t>
        </is>
      </c>
      <c r="B12" t="inlineStr">
        <is>
          <t>%</t>
        </is>
      </c>
      <c r="C12" s="35">
        <f>IF(2026&lt;2028,0,IF(2026=2028,Phased_Assumptions!$D$17*Phased_Assumptions!$D$19,Phased_Assumptions!$D$17))</f>
        <v/>
      </c>
      <c r="D12" s="35">
        <f>IF(2027&lt;2028,0,IF(2027=2028,Phased_Assumptions!$D$17*Phased_Assumptions!$D$19,Phased_Assumptions!$D$17))</f>
        <v/>
      </c>
      <c r="E12" s="35">
        <f>IF(2028&lt;2028,0,IF(2028=2028,Phased_Assumptions!$D$17*Phased_Assumptions!$D$19,Phased_Assumptions!$D$17))</f>
        <v/>
      </c>
      <c r="F12" s="35">
        <f>IF(2029&lt;2028,0,IF(2029=2028,Phased_Assumptions!$D$17*Phased_Assumptions!$D$19,Phased_Assumptions!$D$17))</f>
        <v/>
      </c>
      <c r="G12" s="35">
        <f>IF(2030&lt;2028,0,IF(2030=2028,Phased_Assumptions!$D$17*Phased_Assumptions!$D$19,Phased_Assumptions!$D$17))</f>
        <v/>
      </c>
      <c r="H12" s="35">
        <f>IF(2031&lt;2028,0,IF(2031=2028,Phased_Assumptions!$D$17*Phased_Assumptions!$D$19,Phased_Assumptions!$D$17))</f>
        <v/>
      </c>
      <c r="I12" s="35">
        <f>IF(2032&lt;2028,0,IF(2032=2028,Phased_Assumptions!$D$17*Phased_Assumptions!$D$19,Phased_Assumptions!$D$17))</f>
        <v/>
      </c>
      <c r="J12" s="35">
        <f>IF(2033&lt;2028,0,IF(2033=2028,Phased_Assumptions!$D$17*Phased_Assumptions!$D$19,Phased_Assumptions!$D$17))</f>
        <v/>
      </c>
      <c r="K12" s="35">
        <f>IF(2034&lt;2028,0,IF(2034=2028,Phased_Assumptions!$D$17*Phased_Assumptions!$D$19,Phased_Assumptions!$D$17))</f>
        <v/>
      </c>
      <c r="L12" s="35">
        <f>IF(2035&lt;2028,0,IF(2035=2028,Phased_Assumptions!$D$17*Phased_Assumptions!$D$19,Phased_Assumptions!$D$17))</f>
        <v/>
      </c>
      <c r="M12" s="35">
        <f>IF(2036&lt;2028,0,IF(2036=2028,Phased_Assumptions!$D$17*Phased_Assumptions!$D$19,Phased_Assumptions!$D$17))</f>
        <v/>
      </c>
      <c r="N12" s="35">
        <f>IF(2037&lt;2028,0,IF(2037=2028,Phased_Assumptions!$D$17*Phased_Assumptions!$D$19,Phased_Assumptions!$D$17))</f>
        <v/>
      </c>
      <c r="O12" t="inlineStr">
        <is>
          <t>65% planning share; half-year in 2028 (H2 launch)</t>
        </is>
      </c>
    </row>
    <row r="13">
      <c r="A13" t="inlineStr">
        <is>
          <t>Coverage - Phase 2 (share of POM)</t>
        </is>
      </c>
      <c r="B13" t="inlineStr">
        <is>
          <t>%</t>
        </is>
      </c>
      <c r="C13" s="35">
        <f>IF(2026&gt;=2030,Phased_Assumptions!$D$18,0)</f>
        <v/>
      </c>
      <c r="D13" s="35">
        <f>IF(2027&gt;=2030,Phased_Assumptions!$D$18,0)</f>
        <v/>
      </c>
      <c r="E13" s="35">
        <f>IF(2028&gt;=2030,Phased_Assumptions!$D$18,0)</f>
        <v/>
      </c>
      <c r="F13" s="35">
        <f>IF(2029&gt;=2030,Phased_Assumptions!$D$18,0)</f>
        <v/>
      </c>
      <c r="G13" s="35">
        <f>IF(2030&gt;=2030,Phased_Assumptions!$D$18,0)</f>
        <v/>
      </c>
      <c r="H13" s="35">
        <f>IF(2031&gt;=2030,Phased_Assumptions!$D$18,0)</f>
        <v/>
      </c>
      <c r="I13" s="35">
        <f>IF(2032&gt;=2030,Phased_Assumptions!$D$18,0)</f>
        <v/>
      </c>
      <c r="J13" s="35">
        <f>IF(2033&gt;=2030,Phased_Assumptions!$D$18,0)</f>
        <v/>
      </c>
      <c r="K13" s="35">
        <f>IF(2034&gt;=2030,Phased_Assumptions!$D$18,0)</f>
        <v/>
      </c>
      <c r="L13" s="35">
        <f>IF(2035&gt;=2030,Phased_Assumptions!$D$18,0)</f>
        <v/>
      </c>
      <c r="M13" s="35">
        <f>IF(2036&gt;=2030,Phased_Assumptions!$D$18,0)</f>
        <v/>
      </c>
      <c r="N13" s="35">
        <f>IF(2037&gt;=2030,Phased_Assumptions!$D$18,0)</f>
        <v/>
      </c>
      <c r="O13" t="inlineStr">
        <is>
          <t>National from 2030</t>
        </is>
      </c>
    </row>
    <row r="14">
      <c r="A14" t="inlineStr">
        <is>
          <t>Return rate - Phase 1</t>
        </is>
      </c>
      <c r="B14" t="inlineStr">
        <is>
          <t>%</t>
        </is>
      </c>
      <c r="C14" s="35">
        <f>0</f>
        <v/>
      </c>
      <c r="D14" s="35">
        <f>0</f>
        <v/>
      </c>
      <c r="E14" s="35">
        <f>Phased_Assumptions!C46</f>
        <v/>
      </c>
      <c r="F14" s="35">
        <f>Phased_Assumptions!D46</f>
        <v/>
      </c>
      <c r="G14" s="35">
        <f>Phased_Assumptions!E46</f>
        <v/>
      </c>
      <c r="H14" s="35">
        <f>Phased_Assumptions!F46</f>
        <v/>
      </c>
      <c r="I14" s="35">
        <f>Phased_Assumptions!G46</f>
        <v/>
      </c>
      <c r="J14" s="35">
        <f>Phased_Assumptions!H46</f>
        <v/>
      </c>
      <c r="K14" s="35">
        <f>Phased_Assumptions!I46</f>
        <v/>
      </c>
      <c r="L14" s="35">
        <f>Phased_Assumptions!J46</f>
        <v/>
      </c>
      <c r="M14" s="35">
        <f>Phased_Assumptions!K46</f>
        <v/>
      </c>
      <c r="N14" s="35">
        <f>Phased_Assumptions!L46</f>
        <v/>
      </c>
      <c r="O14" t="inlineStr">
        <is>
          <t>Base ramp anchored to 2028</t>
        </is>
      </c>
    </row>
    <row r="15">
      <c r="A15" t="inlineStr">
        <is>
          <t>Return rate - Phase 2</t>
        </is>
      </c>
      <c r="B15" t="inlineStr">
        <is>
          <t>%</t>
        </is>
      </c>
      <c r="C15" s="35">
        <f>0</f>
        <v/>
      </c>
      <c r="D15" s="35">
        <f>0</f>
        <v/>
      </c>
      <c r="E15" s="35">
        <f>Phased_Assumptions!C47</f>
        <v/>
      </c>
      <c r="F15" s="35">
        <f>Phased_Assumptions!D47</f>
        <v/>
      </c>
      <c r="G15" s="35">
        <f>Phased_Assumptions!E47</f>
        <v/>
      </c>
      <c r="H15" s="35">
        <f>Phased_Assumptions!F47</f>
        <v/>
      </c>
      <c r="I15" s="35">
        <f>Phased_Assumptions!G47</f>
        <v/>
      </c>
      <c r="J15" s="35">
        <f>Phased_Assumptions!H47</f>
        <v/>
      </c>
      <c r="K15" s="35">
        <f>Phased_Assumptions!I47</f>
        <v/>
      </c>
      <c r="L15" s="35">
        <f>Phased_Assumptions!J47</f>
        <v/>
      </c>
      <c r="M15" s="35">
        <f>Phased_Assumptions!K47</f>
        <v/>
      </c>
      <c r="N15" s="35">
        <f>Phased_Assumptions!L47</f>
        <v/>
      </c>
      <c r="O15" t="inlineStr">
        <is>
          <t>Base ramp anchored to 2030</t>
        </is>
      </c>
    </row>
    <row r="16">
      <c r="A16" t="inlineStr">
        <is>
          <t>Blended returned share of national POM</t>
        </is>
      </c>
      <c r="B16" t="inlineStr">
        <is>
          <t>%</t>
        </is>
      </c>
      <c r="C16" s="35">
        <f>C12*C14+C13*C15</f>
        <v/>
      </c>
      <c r="D16" s="35">
        <f>D12*D14+D13*D15</f>
        <v/>
      </c>
      <c r="E16" s="35">
        <f>E12*E14+E13*E15</f>
        <v/>
      </c>
      <c r="F16" s="35">
        <f>F12*F14+F13*F15</f>
        <v/>
      </c>
      <c r="G16" s="35">
        <f>G12*G14+G13*G15</f>
        <v/>
      </c>
      <c r="H16" s="35">
        <f>H12*H14+H13*H15</f>
        <v/>
      </c>
      <c r="I16" s="35">
        <f>I12*I14+I13*I15</f>
        <v/>
      </c>
      <c r="J16" s="35">
        <f>J12*J14+J13*J15</f>
        <v/>
      </c>
      <c r="K16" s="35">
        <f>K12*K14+K13*K15</f>
        <v/>
      </c>
      <c r="L16" s="35">
        <f>L12*L14+L13*L15</f>
        <v/>
      </c>
      <c r="M16" s="35">
        <f>M12*M14+M13*M15</f>
        <v/>
      </c>
      <c r="N16" s="35">
        <f>N12*N14+N13*N15</f>
        <v/>
      </c>
    </row>
    <row r="17">
      <c r="A17" t="inlineStr">
        <is>
          <t>Covered POM - PET (bn)</t>
        </is>
      </c>
      <c r="B17" t="inlineStr">
        <is>
          <t>bn</t>
        </is>
      </c>
      <c r="C17" s="41">
        <f>C9*(C12+C13)</f>
        <v/>
      </c>
      <c r="D17" s="41">
        <f>D9*(D12+D13)</f>
        <v/>
      </c>
      <c r="E17" s="41">
        <f>E9*(E12+E13)</f>
        <v/>
      </c>
      <c r="F17" s="41">
        <f>F9*(F12+F13)</f>
        <v/>
      </c>
      <c r="G17" s="41">
        <f>G9*(G12+G13)</f>
        <v/>
      </c>
      <c r="H17" s="41">
        <f>H9*(H12+H13)</f>
        <v/>
      </c>
      <c r="I17" s="41">
        <f>I9*(I12+I13)</f>
        <v/>
      </c>
      <c r="J17" s="41">
        <f>J9*(J12+J13)</f>
        <v/>
      </c>
      <c r="K17" s="41">
        <f>K9*(K12+K13)</f>
        <v/>
      </c>
      <c r="L17" s="41">
        <f>L9*(L12+L13)</f>
        <v/>
      </c>
      <c r="M17" s="41">
        <f>M9*(M12+M13)</f>
        <v/>
      </c>
      <c r="N17" s="41">
        <f>N9*(N12+N13)</f>
        <v/>
      </c>
    </row>
    <row r="18">
      <c r="A18" t="inlineStr">
        <is>
          <t>Covered POM - Aluminium (bn)</t>
        </is>
      </c>
      <c r="B18" t="inlineStr">
        <is>
          <t>bn</t>
        </is>
      </c>
      <c r="C18" s="41">
        <f>C10*(C12+C13)</f>
        <v/>
      </c>
      <c r="D18" s="41">
        <f>D10*(D12+D13)</f>
        <v/>
      </c>
      <c r="E18" s="41">
        <f>E10*(E12+E13)</f>
        <v/>
      </c>
      <c r="F18" s="41">
        <f>F10*(F12+F13)</f>
        <v/>
      </c>
      <c r="G18" s="41">
        <f>G10*(G12+G13)</f>
        <v/>
      </c>
      <c r="H18" s="41">
        <f>H10*(H12+H13)</f>
        <v/>
      </c>
      <c r="I18" s="41">
        <f>I10*(I12+I13)</f>
        <v/>
      </c>
      <c r="J18" s="41">
        <f>J10*(J12+J13)</f>
        <v/>
      </c>
      <c r="K18" s="41">
        <f>K10*(K12+K13)</f>
        <v/>
      </c>
      <c r="L18" s="41">
        <f>L10*(L12+L13)</f>
        <v/>
      </c>
      <c r="M18" s="41">
        <f>M10*(M12+M13)</f>
        <v/>
      </c>
      <c r="N18" s="41">
        <f>N10*(N12+N13)</f>
        <v/>
      </c>
    </row>
    <row r="19">
      <c r="A19" t="inlineStr">
        <is>
          <t>Covered POM - Glass (bn)</t>
        </is>
      </c>
      <c r="B19" t="inlineStr">
        <is>
          <t>bn</t>
        </is>
      </c>
      <c r="C19" s="41">
        <f>C11*(C12+C13)</f>
        <v/>
      </c>
      <c r="D19" s="41">
        <f>D11*(D12+D13)</f>
        <v/>
      </c>
      <c r="E19" s="41">
        <f>E11*(E12+E13)</f>
        <v/>
      </c>
      <c r="F19" s="41">
        <f>F11*(F12+F13)</f>
        <v/>
      </c>
      <c r="G19" s="41">
        <f>G11*(G12+G13)</f>
        <v/>
      </c>
      <c r="H19" s="41">
        <f>H11*(H12+H13)</f>
        <v/>
      </c>
      <c r="I19" s="41">
        <f>I11*(I12+I13)</f>
        <v/>
      </c>
      <c r="J19" s="41">
        <f>J11*(J12+J13)</f>
        <v/>
      </c>
      <c r="K19" s="41">
        <f>K11*(K12+K13)</f>
        <v/>
      </c>
      <c r="L19" s="41">
        <f>L11*(L12+L13)</f>
        <v/>
      </c>
      <c r="M19" s="41">
        <f>M11*(M12+M13)</f>
        <v/>
      </c>
      <c r="N19" s="41">
        <f>N11*(N12+N13)</f>
        <v/>
      </c>
    </row>
    <row r="20">
      <c r="A20" t="inlineStr">
        <is>
          <t>Returned - PET (bn)</t>
        </is>
      </c>
      <c r="B20" t="inlineStr">
        <is>
          <t>bn</t>
        </is>
      </c>
      <c r="C20" s="41">
        <f>C9*C16</f>
        <v/>
      </c>
      <c r="D20" s="41">
        <f>D9*D16</f>
        <v/>
      </c>
      <c r="E20" s="41">
        <f>E9*E16</f>
        <v/>
      </c>
      <c r="F20" s="41">
        <f>F9*F16</f>
        <v/>
      </c>
      <c r="G20" s="41">
        <f>G9*G16</f>
        <v/>
      </c>
      <c r="H20" s="41">
        <f>H9*H16</f>
        <v/>
      </c>
      <c r="I20" s="41">
        <f>I9*I16</f>
        <v/>
      </c>
      <c r="J20" s="41">
        <f>J9*J16</f>
        <v/>
      </c>
      <c r="K20" s="41">
        <f>K9*K16</f>
        <v/>
      </c>
      <c r="L20" s="41">
        <f>L9*L16</f>
        <v/>
      </c>
      <c r="M20" s="41">
        <f>M9*M16</f>
        <v/>
      </c>
      <c r="N20" s="41">
        <f>N9*N16</f>
        <v/>
      </c>
    </row>
    <row r="21">
      <c r="A21" t="inlineStr">
        <is>
          <t>Returned - Aluminium (bn)</t>
        </is>
      </c>
      <c r="B21" t="inlineStr">
        <is>
          <t>bn</t>
        </is>
      </c>
      <c r="C21" s="41">
        <f>C10*C16</f>
        <v/>
      </c>
      <c r="D21" s="41">
        <f>D10*D16</f>
        <v/>
      </c>
      <c r="E21" s="41">
        <f>E10*E16</f>
        <v/>
      </c>
      <c r="F21" s="41">
        <f>F10*F16</f>
        <v/>
      </c>
      <c r="G21" s="41">
        <f>G10*G16</f>
        <v/>
      </c>
      <c r="H21" s="41">
        <f>H10*H16</f>
        <v/>
      </c>
      <c r="I21" s="41">
        <f>I10*I16</f>
        <v/>
      </c>
      <c r="J21" s="41">
        <f>J10*J16</f>
        <v/>
      </c>
      <c r="K21" s="41">
        <f>K10*K16</f>
        <v/>
      </c>
      <c r="L21" s="41">
        <f>L10*L16</f>
        <v/>
      </c>
      <c r="M21" s="41">
        <f>M10*M16</f>
        <v/>
      </c>
      <c r="N21" s="41">
        <f>N10*N16</f>
        <v/>
      </c>
    </row>
    <row r="22">
      <c r="A22" t="inlineStr">
        <is>
          <t>Returned - Glass (bn)</t>
        </is>
      </c>
      <c r="B22" t="inlineStr">
        <is>
          <t>bn</t>
        </is>
      </c>
      <c r="C22" s="41">
        <f>C11*C16</f>
        <v/>
      </c>
      <c r="D22" s="41">
        <f>D11*D16</f>
        <v/>
      </c>
      <c r="E22" s="41">
        <f>E11*E16</f>
        <v/>
      </c>
      <c r="F22" s="41">
        <f>F11*F16</f>
        <v/>
      </c>
      <c r="G22" s="41">
        <f>G11*G16</f>
        <v/>
      </c>
      <c r="H22" s="41">
        <f>H11*H16</f>
        <v/>
      </c>
      <c r="I22" s="41">
        <f>I11*I16</f>
        <v/>
      </c>
      <c r="J22" s="41">
        <f>J11*J16</f>
        <v/>
      </c>
      <c r="K22" s="41">
        <f>K11*K16</f>
        <v/>
      </c>
      <c r="L22" s="41">
        <f>L11*L16</f>
        <v/>
      </c>
      <c r="M22" s="41">
        <f>M11*M16</f>
        <v/>
      </c>
      <c r="N22" s="41">
        <f>N11*N16</f>
        <v/>
      </c>
    </row>
    <row r="23">
      <c r="A23" s="3" t="inlineStr">
        <is>
          <t>Returned - TOTAL (bn)</t>
        </is>
      </c>
      <c r="B23" s="3" t="inlineStr">
        <is>
          <t>bn</t>
        </is>
      </c>
      <c r="C23" s="42">
        <f>C20+C21+C22</f>
        <v/>
      </c>
      <c r="D23" s="42">
        <f>D20+D21+D22</f>
        <v/>
      </c>
      <c r="E23" s="42">
        <f>E20+E21+E22</f>
        <v/>
      </c>
      <c r="F23" s="42">
        <f>F20+F21+F22</f>
        <v/>
      </c>
      <c r="G23" s="42">
        <f>G20+G21+G22</f>
        <v/>
      </c>
      <c r="H23" s="42">
        <f>H20+H21+H22</f>
        <v/>
      </c>
      <c r="I23" s="42">
        <f>I20+I21+I22</f>
        <v/>
      </c>
      <c r="J23" s="42">
        <f>J20+J21+J22</f>
        <v/>
      </c>
      <c r="K23" s="42">
        <f>K20+K21+K22</f>
        <v/>
      </c>
      <c r="L23" s="42">
        <f>L20+L21+L22</f>
        <v/>
      </c>
      <c r="M23" s="42">
        <f>M20+M21+M22</f>
        <v/>
      </c>
      <c r="N23" s="42">
        <f>N20+N21+N22</f>
        <v/>
      </c>
    </row>
    <row r="24">
      <c r="A24" t="inlineStr">
        <is>
          <t>PET tonnage (t)</t>
        </is>
      </c>
      <c r="B24" t="inlineStr">
        <is>
          <t>t</t>
        </is>
      </c>
      <c r="C24" s="37">
        <f>C20*Assumptions!$G$67*1000</f>
        <v/>
      </c>
      <c r="D24" s="37">
        <f>D20*Assumptions!$G$67*1000</f>
        <v/>
      </c>
      <c r="E24" s="37">
        <f>E20*Assumptions!$G$67*1000</f>
        <v/>
      </c>
      <c r="F24" s="37">
        <f>F20*Assumptions!$G$67*1000</f>
        <v/>
      </c>
      <c r="G24" s="37">
        <f>G20*Assumptions!$G$67*1000</f>
        <v/>
      </c>
      <c r="H24" s="37">
        <f>H20*Assumptions!$G$67*1000</f>
        <v/>
      </c>
      <c r="I24" s="37">
        <f>I20*Assumptions!$G$67*1000</f>
        <v/>
      </c>
      <c r="J24" s="37">
        <f>J20*Assumptions!$G$67*1000</f>
        <v/>
      </c>
      <c r="K24" s="37">
        <f>K20*Assumptions!$G$67*1000</f>
        <v/>
      </c>
      <c r="L24" s="37">
        <f>L20*Assumptions!$G$67*1000</f>
        <v/>
      </c>
      <c r="M24" s="37">
        <f>M20*Assumptions!$G$67*1000</f>
        <v/>
      </c>
      <c r="N24" s="37">
        <f>N20*Assumptions!$G$67*1000</f>
        <v/>
      </c>
    </row>
    <row r="25">
      <c r="A25" t="inlineStr">
        <is>
          <t>Aluminium tonnage (t)</t>
        </is>
      </c>
      <c r="B25" t="inlineStr">
        <is>
          <t>t</t>
        </is>
      </c>
      <c r="C25" s="37">
        <f>C21*Assumptions!$G$68*1000</f>
        <v/>
      </c>
      <c r="D25" s="37">
        <f>D21*Assumptions!$G$68*1000</f>
        <v/>
      </c>
      <c r="E25" s="37">
        <f>E21*Assumptions!$G$68*1000</f>
        <v/>
      </c>
      <c r="F25" s="37">
        <f>F21*Assumptions!$G$68*1000</f>
        <v/>
      </c>
      <c r="G25" s="37">
        <f>G21*Assumptions!$G$68*1000</f>
        <v/>
      </c>
      <c r="H25" s="37">
        <f>H21*Assumptions!$G$68*1000</f>
        <v/>
      </c>
      <c r="I25" s="37">
        <f>I21*Assumptions!$G$68*1000</f>
        <v/>
      </c>
      <c r="J25" s="37">
        <f>J21*Assumptions!$G$68*1000</f>
        <v/>
      </c>
      <c r="K25" s="37">
        <f>K21*Assumptions!$G$68*1000</f>
        <v/>
      </c>
      <c r="L25" s="37">
        <f>L21*Assumptions!$G$68*1000</f>
        <v/>
      </c>
      <c r="M25" s="37">
        <f>M21*Assumptions!$G$68*1000</f>
        <v/>
      </c>
      <c r="N25" s="37">
        <f>N21*Assumptions!$G$68*1000</f>
        <v/>
      </c>
    </row>
    <row r="26">
      <c r="A26" t="inlineStr">
        <is>
          <t>Glass tonnage (t)</t>
        </is>
      </c>
      <c r="B26" t="inlineStr">
        <is>
          <t>t</t>
        </is>
      </c>
      <c r="C26" s="37">
        <f>C22*Assumptions!$G$69*1000</f>
        <v/>
      </c>
      <c r="D26" s="37">
        <f>D22*Assumptions!$G$69*1000</f>
        <v/>
      </c>
      <c r="E26" s="37">
        <f>E22*Assumptions!$G$69*1000</f>
        <v/>
      </c>
      <c r="F26" s="37">
        <f>F22*Assumptions!$G$69*1000</f>
        <v/>
      </c>
      <c r="G26" s="37">
        <f>G22*Assumptions!$G$69*1000</f>
        <v/>
      </c>
      <c r="H26" s="37">
        <f>H22*Assumptions!$G$69*1000</f>
        <v/>
      </c>
      <c r="I26" s="37">
        <f>I22*Assumptions!$G$69*1000</f>
        <v/>
      </c>
      <c r="J26" s="37">
        <f>J22*Assumptions!$G$69*1000</f>
        <v/>
      </c>
      <c r="K26" s="37">
        <f>K22*Assumptions!$G$69*1000</f>
        <v/>
      </c>
      <c r="L26" s="37">
        <f>L22*Assumptions!$G$69*1000</f>
        <v/>
      </c>
      <c r="M26" s="37">
        <f>M22*Assumptions!$G$69*1000</f>
        <v/>
      </c>
      <c r="N26" s="37">
        <f>N22*Assumptions!$G$69*1000</f>
        <v/>
      </c>
    </row>
    <row r="27">
      <c r="A27" s="6" t="inlineStr">
        <is>
          <t>B - REVENUE (PRODUCER FEES ON COVERED POM + MATERIAL SALES)</t>
        </is>
      </c>
    </row>
    <row r="28">
      <c r="A28" t="inlineStr">
        <is>
          <t>Producer fees - PET</t>
        </is>
      </c>
      <c r="B28" t="inlineStr">
        <is>
          <t>AED m</t>
        </is>
      </c>
      <c r="C28" s="38">
        <f>C17*Assumptions!$G$60*1000*C8*IF(2026&gt;=Phased_Assumptions!$D$29,Assumptions!$G$63,1)</f>
        <v/>
      </c>
      <c r="D28" s="38">
        <f>D17*Assumptions!$G$60*1000*D8*IF(2027&gt;=Phased_Assumptions!$D$29,Assumptions!$G$63,1)</f>
        <v/>
      </c>
      <c r="E28" s="38">
        <f>E17*Assumptions!$G$60*1000*E8*IF(2028&gt;=Phased_Assumptions!$D$29,Assumptions!$G$63,1)</f>
        <v/>
      </c>
      <c r="F28" s="38">
        <f>F17*Assumptions!$G$60*1000*F8*IF(2029&gt;=Phased_Assumptions!$D$29,Assumptions!$G$63,1)</f>
        <v/>
      </c>
      <c r="G28" s="38">
        <f>G17*Assumptions!$G$60*1000*G8*IF(2030&gt;=Phased_Assumptions!$D$29,Assumptions!$G$63,1)</f>
        <v/>
      </c>
      <c r="H28" s="38">
        <f>H17*Assumptions!$G$60*1000*H8*IF(2031&gt;=Phased_Assumptions!$D$29,Assumptions!$G$63,1)</f>
        <v/>
      </c>
      <c r="I28" s="38">
        <f>I17*Assumptions!$G$60*1000*I8*IF(2032&gt;=Phased_Assumptions!$D$29,Assumptions!$G$63,1)</f>
        <v/>
      </c>
      <c r="J28" s="38">
        <f>J17*Assumptions!$G$60*1000*J8*IF(2033&gt;=Phased_Assumptions!$D$29,Assumptions!$G$63,1)</f>
        <v/>
      </c>
      <c r="K28" s="38">
        <f>K17*Assumptions!$G$60*1000*K8*IF(2034&gt;=Phased_Assumptions!$D$29,Assumptions!$G$63,1)</f>
        <v/>
      </c>
      <c r="L28" s="38">
        <f>L17*Assumptions!$G$60*1000*L8*IF(2035&gt;=Phased_Assumptions!$D$29,Assumptions!$G$63,1)</f>
        <v/>
      </c>
      <c r="M28" s="38">
        <f>M17*Assumptions!$G$60*1000*M8*IF(2036&gt;=Phased_Assumptions!$D$29,Assumptions!$G$63,1)</f>
        <v/>
      </c>
      <c r="N28" s="38">
        <f>N17*Assumptions!$G$60*1000*N8*IF(2037&gt;=Phased_Assumptions!$D$29,Assumptions!$G$63,1)</f>
        <v/>
      </c>
      <c r="O28" t="inlineStr">
        <is>
          <t>AED 0.20/unit (R7 calibration)</t>
        </is>
      </c>
    </row>
    <row r="29">
      <c r="A29" t="inlineStr">
        <is>
          <t>Producer fees - Aluminium</t>
        </is>
      </c>
      <c r="B29" t="inlineStr">
        <is>
          <t>AED m</t>
        </is>
      </c>
      <c r="C29" s="38">
        <f>C18*Assumptions!$G$61*1000*C8*IF(2026&gt;=Phased_Assumptions!$D$29,Assumptions!$G$63,1)</f>
        <v/>
      </c>
      <c r="D29" s="38">
        <f>D18*Assumptions!$G$61*1000*D8*IF(2027&gt;=Phased_Assumptions!$D$29,Assumptions!$G$63,1)</f>
        <v/>
      </c>
      <c r="E29" s="38">
        <f>E18*Assumptions!$G$61*1000*E8*IF(2028&gt;=Phased_Assumptions!$D$29,Assumptions!$G$63,1)</f>
        <v/>
      </c>
      <c r="F29" s="38">
        <f>F18*Assumptions!$G$61*1000*F8*IF(2029&gt;=Phased_Assumptions!$D$29,Assumptions!$G$63,1)</f>
        <v/>
      </c>
      <c r="G29" s="38">
        <f>G18*Assumptions!$G$61*1000*G8*IF(2030&gt;=Phased_Assumptions!$D$29,Assumptions!$G$63,1)</f>
        <v/>
      </c>
      <c r="H29" s="38">
        <f>H18*Assumptions!$G$61*1000*H8*IF(2031&gt;=Phased_Assumptions!$D$29,Assumptions!$G$63,1)</f>
        <v/>
      </c>
      <c r="I29" s="38">
        <f>I18*Assumptions!$G$61*1000*I8*IF(2032&gt;=Phased_Assumptions!$D$29,Assumptions!$G$63,1)</f>
        <v/>
      </c>
      <c r="J29" s="38">
        <f>J18*Assumptions!$G$61*1000*J8*IF(2033&gt;=Phased_Assumptions!$D$29,Assumptions!$G$63,1)</f>
        <v/>
      </c>
      <c r="K29" s="38">
        <f>K18*Assumptions!$G$61*1000*K8*IF(2034&gt;=Phased_Assumptions!$D$29,Assumptions!$G$63,1)</f>
        <v/>
      </c>
      <c r="L29" s="38">
        <f>L18*Assumptions!$G$61*1000*L8*IF(2035&gt;=Phased_Assumptions!$D$29,Assumptions!$G$63,1)</f>
        <v/>
      </c>
      <c r="M29" s="38">
        <f>M18*Assumptions!$G$61*1000*M8*IF(2036&gt;=Phased_Assumptions!$D$29,Assumptions!$G$63,1)</f>
        <v/>
      </c>
      <c r="N29" s="38">
        <f>N18*Assumptions!$G$61*1000*N8*IF(2037&gt;=Phased_Assumptions!$D$29,Assumptions!$G$63,1)</f>
        <v/>
      </c>
    </row>
    <row r="30">
      <c r="A30" t="inlineStr">
        <is>
          <t>Producer fees - Glass</t>
        </is>
      </c>
      <c r="B30" t="inlineStr">
        <is>
          <t>AED m</t>
        </is>
      </c>
      <c r="C30" s="38">
        <f>C19*Assumptions!$G$62*1000*C8*IF(2026&gt;=Phased_Assumptions!$D$29,Assumptions!$G$63,1)</f>
        <v/>
      </c>
      <c r="D30" s="38">
        <f>D19*Assumptions!$G$62*1000*D8*IF(2027&gt;=Phased_Assumptions!$D$29,Assumptions!$G$63,1)</f>
        <v/>
      </c>
      <c r="E30" s="38">
        <f>E19*Assumptions!$G$62*1000*E8*IF(2028&gt;=Phased_Assumptions!$D$29,Assumptions!$G$63,1)</f>
        <v/>
      </c>
      <c r="F30" s="38">
        <f>F19*Assumptions!$G$62*1000*F8*IF(2029&gt;=Phased_Assumptions!$D$29,Assumptions!$G$63,1)</f>
        <v/>
      </c>
      <c r="G30" s="38">
        <f>G19*Assumptions!$G$62*1000*G8*IF(2030&gt;=Phased_Assumptions!$D$29,Assumptions!$G$63,1)</f>
        <v/>
      </c>
      <c r="H30" s="38">
        <f>H19*Assumptions!$G$62*1000*H8*IF(2031&gt;=Phased_Assumptions!$D$29,Assumptions!$G$63,1)</f>
        <v/>
      </c>
      <c r="I30" s="38">
        <f>I19*Assumptions!$G$62*1000*I8*IF(2032&gt;=Phased_Assumptions!$D$29,Assumptions!$G$63,1)</f>
        <v/>
      </c>
      <c r="J30" s="38">
        <f>J19*Assumptions!$G$62*1000*J8*IF(2033&gt;=Phased_Assumptions!$D$29,Assumptions!$G$63,1)</f>
        <v/>
      </c>
      <c r="K30" s="38">
        <f>K19*Assumptions!$G$62*1000*K8*IF(2034&gt;=Phased_Assumptions!$D$29,Assumptions!$G$63,1)</f>
        <v/>
      </c>
      <c r="L30" s="38">
        <f>L19*Assumptions!$G$62*1000*L8*IF(2035&gt;=Phased_Assumptions!$D$29,Assumptions!$G$63,1)</f>
        <v/>
      </c>
      <c r="M30" s="38">
        <f>M19*Assumptions!$G$62*1000*M8*IF(2036&gt;=Phased_Assumptions!$D$29,Assumptions!$G$63,1)</f>
        <v/>
      </c>
      <c r="N30" s="38">
        <f>N19*Assumptions!$G$62*1000*N8*IF(2037&gt;=Phased_Assumptions!$D$29,Assumptions!$G$63,1)</f>
        <v/>
      </c>
    </row>
    <row r="31">
      <c r="A31" s="3" t="inlineStr">
        <is>
          <t>Producer fees - subtotal</t>
        </is>
      </c>
      <c r="B31" s="3" t="inlineStr">
        <is>
          <t>AED m</t>
        </is>
      </c>
      <c r="C31" s="39">
        <f>C28+C29+C30</f>
        <v/>
      </c>
      <c r="D31" s="39">
        <f>D28+D29+D30</f>
        <v/>
      </c>
      <c r="E31" s="39">
        <f>E28+E29+E30</f>
        <v/>
      </c>
      <c r="F31" s="39">
        <f>F28+F29+F30</f>
        <v/>
      </c>
      <c r="G31" s="39">
        <f>G28+G29+G30</f>
        <v/>
      </c>
      <c r="H31" s="39">
        <f>H28+H29+H30</f>
        <v/>
      </c>
      <c r="I31" s="39">
        <f>I28+I29+I30</f>
        <v/>
      </c>
      <c r="J31" s="39">
        <f>J28+J29+J30</f>
        <v/>
      </c>
      <c r="K31" s="39">
        <f>K28+K29+K30</f>
        <v/>
      </c>
      <c r="L31" s="39">
        <f>L28+L29+L30</f>
        <v/>
      </c>
      <c r="M31" s="39">
        <f>M28+M29+M30</f>
        <v/>
      </c>
      <c r="N31" s="39">
        <f>N28+N29+N30</f>
        <v/>
      </c>
    </row>
    <row r="32">
      <c r="A32" t="inlineStr">
        <is>
          <t>Material revenue - rPET</t>
        </is>
      </c>
      <c r="B32" t="inlineStr">
        <is>
          <t>AED m</t>
        </is>
      </c>
      <c r="C32" s="38">
        <f>C24*Assumptions!$G$64*Assumptions!$G$7/1000000</f>
        <v/>
      </c>
      <c r="D32" s="38">
        <f>D24*Assumptions!$G$64*Assumptions!$G$7/1000000</f>
        <v/>
      </c>
      <c r="E32" s="38">
        <f>E24*Assumptions!$G$64*Assumptions!$G$7/1000000</f>
        <v/>
      </c>
      <c r="F32" s="38">
        <f>F24*Assumptions!$G$64*Assumptions!$G$7/1000000</f>
        <v/>
      </c>
      <c r="G32" s="38">
        <f>G24*Assumptions!$G$64*Assumptions!$G$7/1000000</f>
        <v/>
      </c>
      <c r="H32" s="38">
        <f>H24*Assumptions!$G$64*Assumptions!$G$7/1000000</f>
        <v/>
      </c>
      <c r="I32" s="38">
        <f>I24*Assumptions!$G$64*Assumptions!$G$7/1000000</f>
        <v/>
      </c>
      <c r="J32" s="38">
        <f>J24*Assumptions!$G$64*Assumptions!$G$7/1000000</f>
        <v/>
      </c>
      <c r="K32" s="38">
        <f>K24*Assumptions!$G$64*Assumptions!$G$7/1000000</f>
        <v/>
      </c>
      <c r="L32" s="38">
        <f>L24*Assumptions!$G$64*Assumptions!$G$7/1000000</f>
        <v/>
      </c>
      <c r="M32" s="38">
        <f>M24*Assumptions!$G$64*Assumptions!$G$7/1000000</f>
        <v/>
      </c>
      <c r="N32" s="38">
        <f>N24*Assumptions!$G$64*Assumptions!$G$7/1000000</f>
        <v/>
      </c>
    </row>
    <row r="33">
      <c r="A33" t="inlineStr">
        <is>
          <t>Material revenue - UBC</t>
        </is>
      </c>
      <c r="B33" t="inlineStr">
        <is>
          <t>AED m</t>
        </is>
      </c>
      <c r="C33" s="38">
        <f>C25*Assumptions!$G$65*Assumptions!$G$7/1000000</f>
        <v/>
      </c>
      <c r="D33" s="38">
        <f>D25*Assumptions!$G$65*Assumptions!$G$7/1000000</f>
        <v/>
      </c>
      <c r="E33" s="38">
        <f>E25*Assumptions!$G$65*Assumptions!$G$7/1000000</f>
        <v/>
      </c>
      <c r="F33" s="38">
        <f>F25*Assumptions!$G$65*Assumptions!$G$7/1000000</f>
        <v/>
      </c>
      <c r="G33" s="38">
        <f>G25*Assumptions!$G$65*Assumptions!$G$7/1000000</f>
        <v/>
      </c>
      <c r="H33" s="38">
        <f>H25*Assumptions!$G$65*Assumptions!$G$7/1000000</f>
        <v/>
      </c>
      <c r="I33" s="38">
        <f>I25*Assumptions!$G$65*Assumptions!$G$7/1000000</f>
        <v/>
      </c>
      <c r="J33" s="38">
        <f>J25*Assumptions!$G$65*Assumptions!$G$7/1000000</f>
        <v/>
      </c>
      <c r="K33" s="38">
        <f>K25*Assumptions!$G$65*Assumptions!$G$7/1000000</f>
        <v/>
      </c>
      <c r="L33" s="38">
        <f>L25*Assumptions!$G$65*Assumptions!$G$7/1000000</f>
        <v/>
      </c>
      <c r="M33" s="38">
        <f>M25*Assumptions!$G$65*Assumptions!$G$7/1000000</f>
        <v/>
      </c>
      <c r="N33" s="38">
        <f>N25*Assumptions!$G$65*Assumptions!$G$7/1000000</f>
        <v/>
      </c>
    </row>
    <row r="34">
      <c r="A34" t="inlineStr">
        <is>
          <t>Material revenue - cullet</t>
        </is>
      </c>
      <c r="B34" t="inlineStr">
        <is>
          <t>AED m</t>
        </is>
      </c>
      <c r="C34" s="38">
        <f>C26*Assumptions!$G$66/1000000</f>
        <v/>
      </c>
      <c r="D34" s="38">
        <f>D26*Assumptions!$G$66/1000000</f>
        <v/>
      </c>
      <c r="E34" s="38">
        <f>E26*Assumptions!$G$66/1000000</f>
        <v/>
      </c>
      <c r="F34" s="38">
        <f>F26*Assumptions!$G$66/1000000</f>
        <v/>
      </c>
      <c r="G34" s="38">
        <f>G26*Assumptions!$G$66/1000000</f>
        <v/>
      </c>
      <c r="H34" s="38">
        <f>H26*Assumptions!$G$66/1000000</f>
        <v/>
      </c>
      <c r="I34" s="38">
        <f>I26*Assumptions!$G$66/1000000</f>
        <v/>
      </c>
      <c r="J34" s="38">
        <f>J26*Assumptions!$G$66/1000000</f>
        <v/>
      </c>
      <c r="K34" s="38">
        <f>K26*Assumptions!$G$66/1000000</f>
        <v/>
      </c>
      <c r="L34" s="38">
        <f>L26*Assumptions!$G$66/1000000</f>
        <v/>
      </c>
      <c r="M34" s="38">
        <f>M26*Assumptions!$G$66/1000000</f>
        <v/>
      </c>
      <c r="N34" s="38">
        <f>N26*Assumptions!$G$66/1000000</f>
        <v/>
      </c>
    </row>
    <row r="35">
      <c r="A35" t="inlineStr">
        <is>
          <t>Material sales - subtotal</t>
        </is>
      </c>
      <c r="B35" t="inlineStr">
        <is>
          <t>AED m</t>
        </is>
      </c>
      <c r="C35" s="38">
        <f>C32+C33+C34</f>
        <v/>
      </c>
      <c r="D35" s="38">
        <f>D32+D33+D34</f>
        <v/>
      </c>
      <c r="E35" s="38">
        <f>E32+E33+E34</f>
        <v/>
      </c>
      <c r="F35" s="38">
        <f>F32+F33+F34</f>
        <v/>
      </c>
      <c r="G35" s="38">
        <f>G32+G33+G34</f>
        <v/>
      </c>
      <c r="H35" s="38">
        <f>H32+H33+H34</f>
        <v/>
      </c>
      <c r="I35" s="38">
        <f>I32+I33+I34</f>
        <v/>
      </c>
      <c r="J35" s="38">
        <f>J32+J33+J34</f>
        <v/>
      </c>
      <c r="K35" s="38">
        <f>K32+K33+K34</f>
        <v/>
      </c>
      <c r="L35" s="38">
        <f>L32+L33+L34</f>
        <v/>
      </c>
      <c r="M35" s="38">
        <f>M32+M33+M34</f>
        <v/>
      </c>
      <c r="N35" s="38">
        <f>N32+N33+N34</f>
        <v/>
      </c>
    </row>
    <row r="36">
      <c r="A36" s="3" t="inlineStr">
        <is>
          <t>TOTAL REVENUE</t>
        </is>
      </c>
      <c r="B36" s="3" t="inlineStr">
        <is>
          <t>AED m</t>
        </is>
      </c>
      <c r="C36" s="39">
        <f>C31+C35</f>
        <v/>
      </c>
      <c r="D36" s="39">
        <f>D31+D35</f>
        <v/>
      </c>
      <c r="E36" s="39">
        <f>E31+E35</f>
        <v/>
      </c>
      <c r="F36" s="39">
        <f>F31+F35</f>
        <v/>
      </c>
      <c r="G36" s="39">
        <f>G31+G35</f>
        <v/>
      </c>
      <c r="H36" s="39">
        <f>H31+H35</f>
        <v/>
      </c>
      <c r="I36" s="39">
        <f>I31+I35</f>
        <v/>
      </c>
      <c r="J36" s="39">
        <f>J31+J35</f>
        <v/>
      </c>
      <c r="K36" s="39">
        <f>K31+K35</f>
        <v/>
      </c>
      <c r="L36" s="39">
        <f>L31+L35</f>
        <v/>
      </c>
      <c r="M36" s="39">
        <f>M31+M35</f>
        <v/>
      </c>
      <c r="N36" s="39">
        <f>N31+N35</f>
        <v/>
      </c>
    </row>
    <row r="37">
      <c r="A37" s="6" t="inlineStr">
        <is>
          <t>C - OPEX</t>
        </is>
      </c>
    </row>
    <row r="38">
      <c r="A38" t="inlineStr">
        <is>
          <t>Retailer handling fees</t>
        </is>
      </c>
      <c r="B38" t="inlineStr">
        <is>
          <t>AED m</t>
        </is>
      </c>
      <c r="C38" s="38">
        <f>C23*Assumptions!$G$48*1000*C8</f>
        <v/>
      </c>
      <c r="D38" s="38">
        <f>D23*Assumptions!$G$48*1000*D8</f>
        <v/>
      </c>
      <c r="E38" s="38">
        <f>E23*Assumptions!$G$48*1000*E8</f>
        <v/>
      </c>
      <c r="F38" s="38">
        <f>F23*Assumptions!$G$48*1000*F8</f>
        <v/>
      </c>
      <c r="G38" s="38">
        <f>G23*Assumptions!$G$48*1000*G8</f>
        <v/>
      </c>
      <c r="H38" s="38">
        <f>H23*Assumptions!$G$48*1000*H8</f>
        <v/>
      </c>
      <c r="I38" s="38">
        <f>I23*Assumptions!$G$48*1000*I8</f>
        <v/>
      </c>
      <c r="J38" s="38">
        <f>J23*Assumptions!$G$48*1000*J8</f>
        <v/>
      </c>
      <c r="K38" s="38">
        <f>K23*Assumptions!$G$48*1000*K8</f>
        <v/>
      </c>
      <c r="L38" s="38">
        <f>L23*Assumptions!$G$48*1000*L8</f>
        <v/>
      </c>
      <c r="M38" s="38">
        <f>M23*Assumptions!$G$48*1000*M8</f>
        <v/>
      </c>
      <c r="N38" s="38">
        <f>N23*Assumptions!$G$48*1000*N8</f>
        <v/>
      </c>
      <c r="O38" t="inlineStr">
        <is>
          <t>R4: Ireland €0.022-0.026</t>
        </is>
      </c>
    </row>
    <row r="39">
      <c r="A39" t="inlineStr">
        <is>
          <t>Collection &amp; logistics</t>
        </is>
      </c>
      <c r="B39" t="inlineStr">
        <is>
          <t>AED m</t>
        </is>
      </c>
      <c r="C39" s="38">
        <f>C23*Assumptions!$G$49*1000*C8</f>
        <v/>
      </c>
      <c r="D39" s="38">
        <f>D23*Assumptions!$G$49*1000*D8</f>
        <v/>
      </c>
      <c r="E39" s="38">
        <f>E23*Assumptions!$G$49*1000*E8</f>
        <v/>
      </c>
      <c r="F39" s="38">
        <f>F23*Assumptions!$G$49*1000*F8</f>
        <v/>
      </c>
      <c r="G39" s="38">
        <f>G23*Assumptions!$G$49*1000*G8</f>
        <v/>
      </c>
      <c r="H39" s="38">
        <f>H23*Assumptions!$G$49*1000*H8</f>
        <v/>
      </c>
      <c r="I39" s="38">
        <f>I23*Assumptions!$G$49*1000*I8</f>
        <v/>
      </c>
      <c r="J39" s="38">
        <f>J23*Assumptions!$G$49*1000*J8</f>
        <v/>
      </c>
      <c r="K39" s="38">
        <f>K23*Assumptions!$G$49*1000*K8</f>
        <v/>
      </c>
      <c r="L39" s="38">
        <f>L23*Assumptions!$G$49*1000*L8</f>
        <v/>
      </c>
      <c r="M39" s="38">
        <f>M23*Assumptions!$G$49*1000*M8</f>
        <v/>
      </c>
      <c r="N39" s="38">
        <f>N23*Assumptions!$G$49*1000*N8</f>
        <v/>
      </c>
    </row>
    <row r="40">
      <c r="A40" t="inlineStr">
        <is>
          <t>Counting/sorting centre operations</t>
        </is>
      </c>
      <c r="B40" t="inlineStr">
        <is>
          <t>AED m</t>
        </is>
      </c>
      <c r="C40" s="38">
        <f>C23*Assumptions!$G$50*1000*C8</f>
        <v/>
      </c>
      <c r="D40" s="38">
        <f>D23*Assumptions!$G$50*1000*D8</f>
        <v/>
      </c>
      <c r="E40" s="38">
        <f>E23*Assumptions!$G$50*1000*E8</f>
        <v/>
      </c>
      <c r="F40" s="38">
        <f>F23*Assumptions!$G$50*1000*F8</f>
        <v/>
      </c>
      <c r="G40" s="38">
        <f>G23*Assumptions!$G$50*1000*G8</f>
        <v/>
      </c>
      <c r="H40" s="38">
        <f>H23*Assumptions!$G$50*1000*H8</f>
        <v/>
      </c>
      <c r="I40" s="38">
        <f>I23*Assumptions!$G$50*1000*I8</f>
        <v/>
      </c>
      <c r="J40" s="38">
        <f>J23*Assumptions!$G$50*1000*J8</f>
        <v/>
      </c>
      <c r="K40" s="38">
        <f>K23*Assumptions!$G$50*1000*K8</f>
        <v/>
      </c>
      <c r="L40" s="38">
        <f>L23*Assumptions!$G$50*1000*L8</f>
        <v/>
      </c>
      <c r="M40" s="38">
        <f>M23*Assumptions!$G$50*1000*M8</f>
        <v/>
      </c>
      <c r="N40" s="38">
        <f>N23*Assumptions!$G$50*1000*N8</f>
        <v/>
      </c>
    </row>
    <row r="41">
      <c r="A41" t="inlineStr">
        <is>
          <t>RVM consumables</t>
        </is>
      </c>
      <c r="B41" t="inlineStr">
        <is>
          <t>AED m</t>
        </is>
      </c>
      <c r="C41" s="38">
        <f>C23*Assumptions!$G$51*1000*C8</f>
        <v/>
      </c>
      <c r="D41" s="38">
        <f>D23*Assumptions!$G$51*1000*D8</f>
        <v/>
      </c>
      <c r="E41" s="38">
        <f>E23*Assumptions!$G$51*1000*E8</f>
        <v/>
      </c>
      <c r="F41" s="38">
        <f>F23*Assumptions!$G$51*1000*F8</f>
        <v/>
      </c>
      <c r="G41" s="38">
        <f>G23*Assumptions!$G$51*1000*G8</f>
        <v/>
      </c>
      <c r="H41" s="38">
        <f>H23*Assumptions!$G$51*1000*H8</f>
        <v/>
      </c>
      <c r="I41" s="38">
        <f>I23*Assumptions!$G$51*1000*I8</f>
        <v/>
      </c>
      <c r="J41" s="38">
        <f>J23*Assumptions!$G$51*1000*J8</f>
        <v/>
      </c>
      <c r="K41" s="38">
        <f>K23*Assumptions!$G$51*1000*K8</f>
        <v/>
      </c>
      <c r="L41" s="38">
        <f>L23*Assumptions!$G$51*1000*L8</f>
        <v/>
      </c>
      <c r="M41" s="38">
        <f>M23*Assumptions!$G$51*1000*M8</f>
        <v/>
      </c>
      <c r="N41" s="38">
        <f>N23*Assumptions!$G$51*1000*N8</f>
        <v/>
      </c>
    </row>
    <row r="42">
      <c r="A42" t="inlineStr">
        <is>
          <t>RVM maintenance</t>
        </is>
      </c>
      <c r="B42" t="inlineStr">
        <is>
          <t>AED m</t>
        </is>
      </c>
      <c r="C42" s="38">
        <f>0</f>
        <v/>
      </c>
      <c r="D42" s="38">
        <f>0</f>
        <v/>
      </c>
      <c r="E42" s="38">
        <f>Phased_CAPEX!E39*Assumptions!$G$52/1000000</f>
        <v/>
      </c>
      <c r="F42" s="38">
        <f>Phased_CAPEX!F39*Assumptions!$G$52/1000000</f>
        <v/>
      </c>
      <c r="G42" s="38">
        <f>Phased_CAPEX!G39*Assumptions!$G$52/1000000</f>
        <v/>
      </c>
      <c r="H42" s="38">
        <f>Phased_CAPEX!H39*Assumptions!$G$52/1000000</f>
        <v/>
      </c>
      <c r="I42" s="38">
        <f>Phased_CAPEX!I39*Assumptions!$G$52/1000000</f>
        <v/>
      </c>
      <c r="J42" s="38">
        <f>Phased_CAPEX!J39*Assumptions!$G$52/1000000</f>
        <v/>
      </c>
      <c r="K42" s="38">
        <f>Phased_CAPEX!K39*Assumptions!$G$52/1000000</f>
        <v/>
      </c>
      <c r="L42" s="38">
        <f>Phased_CAPEX!L39*Assumptions!$G$52/1000000</f>
        <v/>
      </c>
      <c r="M42" s="38">
        <f>Phased_CAPEX!M39*Assumptions!$G$52/1000000</f>
        <v/>
      </c>
      <c r="N42" s="38">
        <f>Phased_CAPEX!N39*Assumptions!$G$52/1000000</f>
        <v/>
      </c>
      <c r="O42" t="inlineStr">
        <is>
          <t>Fleet per Phased_CAPEX row 39</t>
        </is>
      </c>
    </row>
    <row r="43">
      <c r="A43" t="inlineStr">
        <is>
          <t>Central IT operations</t>
        </is>
      </c>
      <c r="B43" t="inlineStr">
        <is>
          <t>AED m</t>
        </is>
      </c>
      <c r="C43" s="38">
        <f>IF(2026&lt;2028,0,Assumptions!$G$53*C8)</f>
        <v/>
      </c>
      <c r="D43" s="38">
        <f>IF(2027&lt;2028,0,Assumptions!$G$53*D8)</f>
        <v/>
      </c>
      <c r="E43" s="38">
        <f>IF(2028&lt;2028,0,Assumptions!$G$53*E8)</f>
        <v/>
      </c>
      <c r="F43" s="38">
        <f>IF(2029&lt;2028,0,Assumptions!$G$53*F8)</f>
        <v/>
      </c>
      <c r="G43" s="38">
        <f>IF(2030&lt;2028,0,Assumptions!$G$53*G8)</f>
        <v/>
      </c>
      <c r="H43" s="38">
        <f>IF(2031&lt;2028,0,Assumptions!$G$53*H8)</f>
        <v/>
      </c>
      <c r="I43" s="38">
        <f>IF(2032&lt;2028,0,Assumptions!$G$53*I8)</f>
        <v/>
      </c>
      <c r="J43" s="38">
        <f>IF(2033&lt;2028,0,Assumptions!$G$53*J8)</f>
        <v/>
      </c>
      <c r="K43" s="38">
        <f>IF(2034&lt;2028,0,Assumptions!$G$53*K8)</f>
        <v/>
      </c>
      <c r="L43" s="38">
        <f>IF(2035&lt;2028,0,Assumptions!$G$53*L8)</f>
        <v/>
      </c>
      <c r="M43" s="38">
        <f>IF(2036&lt;2028,0,Assumptions!$G$53*M8)</f>
        <v/>
      </c>
      <c r="N43" s="38">
        <f>IF(2037&lt;2028,0,Assumptions!$G$53*N8)</f>
        <v/>
      </c>
      <c r="O43" t="inlineStr">
        <is>
          <t>Full platform opex from launch (national-capable registry)</t>
        </is>
      </c>
    </row>
    <row r="44">
      <c r="A44" t="inlineStr">
        <is>
          <t>DSO administration &amp; HQ</t>
        </is>
      </c>
      <c r="B44" t="inlineStr">
        <is>
          <t>AED m</t>
        </is>
      </c>
      <c r="C44" s="38">
        <f>IF(2026&lt;2028,0,Assumptions!$G$54*IF(2026&lt;=2029,Phased_Assumptions!$D$27,1)*C8)</f>
        <v/>
      </c>
      <c r="D44" s="38">
        <f>IF(2027&lt;2028,0,Assumptions!$G$54*IF(2027&lt;=2029,Phased_Assumptions!$D$27,1)*D8)</f>
        <v/>
      </c>
      <c r="E44" s="38">
        <f>IF(2028&lt;2028,0,Assumptions!$G$54*IF(2028&lt;=2029,Phased_Assumptions!$D$27,1)*E8)</f>
        <v/>
      </c>
      <c r="F44" s="38">
        <f>IF(2029&lt;2028,0,Assumptions!$G$54*IF(2029&lt;=2029,Phased_Assumptions!$D$27,1)*F8)</f>
        <v/>
      </c>
      <c r="G44" s="38">
        <f>IF(2030&lt;2028,0,Assumptions!$G$54*IF(2030&lt;=2029,Phased_Assumptions!$D$27,1)*G8)</f>
        <v/>
      </c>
      <c r="H44" s="38">
        <f>IF(2031&lt;2028,0,Assumptions!$G$54*IF(2031&lt;=2029,Phased_Assumptions!$D$27,1)*H8)</f>
        <v/>
      </c>
      <c r="I44" s="38">
        <f>IF(2032&lt;2028,0,Assumptions!$G$54*IF(2032&lt;=2029,Phased_Assumptions!$D$27,1)*I8)</f>
        <v/>
      </c>
      <c r="J44" s="38">
        <f>IF(2033&lt;2028,0,Assumptions!$G$54*IF(2033&lt;=2029,Phased_Assumptions!$D$27,1)*J8)</f>
        <v/>
      </c>
      <c r="K44" s="38">
        <f>IF(2034&lt;2028,0,Assumptions!$G$54*IF(2034&lt;=2029,Phased_Assumptions!$D$27,1)*K8)</f>
        <v/>
      </c>
      <c r="L44" s="38">
        <f>IF(2035&lt;2028,0,Assumptions!$G$54*IF(2035&lt;=2029,Phased_Assumptions!$D$27,1)*L8)</f>
        <v/>
      </c>
      <c r="M44" s="38">
        <f>IF(2036&lt;2028,0,Assumptions!$G$54*IF(2036&lt;=2029,Phased_Assumptions!$D$27,1)*M8)</f>
        <v/>
      </c>
      <c r="N44" s="38">
        <f>IF(2037&lt;2028,0,Assumptions!$G$54*IF(2037&lt;=2029,Phased_Assumptions!$D$27,1)*N8)</f>
        <v/>
      </c>
      <c r="O44" t="inlineStr">
        <is>
          <t>85% scaling during Phase 1 [ESTIMATE]</t>
        </is>
      </c>
    </row>
    <row r="45">
      <c r="A45" t="inlineStr">
        <is>
          <t>Awareness campaigns</t>
        </is>
      </c>
      <c r="B45" t="inlineStr">
        <is>
          <t>AED m</t>
        </is>
      </c>
      <c r="C45" s="38">
        <f>IF(2026&lt;2028,0,IF(2026&lt;=Phased_Assumptions!$D$28,Assumptions!$G$55,Assumptions!$G$56)*C8)</f>
        <v/>
      </c>
      <c r="D45" s="38">
        <f>IF(2027&lt;2028,0,IF(2027&lt;=Phased_Assumptions!$D$28,Assumptions!$G$55,Assumptions!$G$56)*D8)</f>
        <v/>
      </c>
      <c r="E45" s="38">
        <f>IF(2028&lt;2028,0,IF(2028&lt;=Phased_Assumptions!$D$28,Assumptions!$G$55,Assumptions!$G$56)*E8)</f>
        <v/>
      </c>
      <c r="F45" s="38">
        <f>IF(2029&lt;2028,0,IF(2029&lt;=Phased_Assumptions!$D$28,Assumptions!$G$55,Assumptions!$G$56)*F8)</f>
        <v/>
      </c>
      <c r="G45" s="38">
        <f>IF(2030&lt;2028,0,IF(2030&lt;=Phased_Assumptions!$D$28,Assumptions!$G$55,Assumptions!$G$56)*G8)</f>
        <v/>
      </c>
      <c r="H45" s="38">
        <f>IF(2031&lt;2028,0,IF(2031&lt;=Phased_Assumptions!$D$28,Assumptions!$G$55,Assumptions!$G$56)*H8)</f>
        <v/>
      </c>
      <c r="I45" s="38">
        <f>IF(2032&lt;2028,0,IF(2032&lt;=Phased_Assumptions!$D$28,Assumptions!$G$55,Assumptions!$G$56)*I8)</f>
        <v/>
      </c>
      <c r="J45" s="38">
        <f>IF(2033&lt;2028,0,IF(2033&lt;=Phased_Assumptions!$D$28,Assumptions!$G$55,Assumptions!$G$56)*J8)</f>
        <v/>
      </c>
      <c r="K45" s="38">
        <f>IF(2034&lt;2028,0,IF(2034&lt;=Phased_Assumptions!$D$28,Assumptions!$G$55,Assumptions!$G$56)*K8)</f>
        <v/>
      </c>
      <c r="L45" s="38">
        <f>IF(2035&lt;2028,0,IF(2035&lt;=Phased_Assumptions!$D$28,Assumptions!$G$55,Assumptions!$G$56)*L8)</f>
        <v/>
      </c>
      <c r="M45" s="38">
        <f>IF(2036&lt;2028,0,IF(2036&lt;=Phased_Assumptions!$D$28,Assumptions!$G$55,Assumptions!$G$56)*M8)</f>
        <v/>
      </c>
      <c r="N45" s="38">
        <f>IF(2037&lt;2028,0,IF(2037&lt;=Phased_Assumptions!$D$28,Assumptions!$G$55,Assumptions!$G$56)*N8)</f>
        <v/>
      </c>
      <c r="O45" t="inlineStr">
        <is>
          <t>Launch level 2028-2030 (two launch waves)</t>
        </is>
      </c>
    </row>
    <row r="46">
      <c r="A46" t="inlineStr">
        <is>
          <t>OMF - fixed (to Segen)</t>
        </is>
      </c>
      <c r="B46" t="inlineStr">
        <is>
          <t>AED m</t>
        </is>
      </c>
      <c r="C46" s="38">
        <f>IF(2026&lt;2028,0,Assumptions!$G$57*C8)</f>
        <v/>
      </c>
      <c r="D46" s="38">
        <f>IF(2027&lt;2028,0,Assumptions!$G$57*D8)</f>
        <v/>
      </c>
      <c r="E46" s="38">
        <f>IF(2028&lt;2028,0,Assumptions!$G$57*E8)</f>
        <v/>
      </c>
      <c r="F46" s="38">
        <f>IF(2029&lt;2028,0,Assumptions!$G$57*F8)</f>
        <v/>
      </c>
      <c r="G46" s="38">
        <f>IF(2030&lt;2028,0,Assumptions!$G$57*G8)</f>
        <v/>
      </c>
      <c r="H46" s="38">
        <f>IF(2031&lt;2028,0,Assumptions!$G$57*H8)</f>
        <v/>
      </c>
      <c r="I46" s="38">
        <f>IF(2032&lt;2028,0,Assumptions!$G$57*I8)</f>
        <v/>
      </c>
      <c r="J46" s="38">
        <f>IF(2033&lt;2028,0,Assumptions!$G$57*J8)</f>
        <v/>
      </c>
      <c r="K46" s="38">
        <f>IF(2034&lt;2028,0,Assumptions!$G$57*K8)</f>
        <v/>
      </c>
      <c r="L46" s="38">
        <f>IF(2035&lt;2028,0,Assumptions!$G$57*L8)</f>
        <v/>
      </c>
      <c r="M46" s="38">
        <f>IF(2036&lt;2028,0,Assumptions!$G$57*M8)</f>
        <v/>
      </c>
      <c r="N46" s="38">
        <f>IF(2037&lt;2028,0,Assumptions!$G$57*N8)</f>
        <v/>
      </c>
    </row>
    <row r="47">
      <c r="A47" t="inlineStr">
        <is>
          <t>OMF - material success fee (to Segen)</t>
        </is>
      </c>
      <c r="B47" t="inlineStr">
        <is>
          <t>AED m</t>
        </is>
      </c>
      <c r="C47" s="38">
        <f>Assumptions!$G$58*C35</f>
        <v/>
      </c>
      <c r="D47" s="38">
        <f>Assumptions!$G$58*D35</f>
        <v/>
      </c>
      <c r="E47" s="38">
        <f>Assumptions!$G$58*E35</f>
        <v/>
      </c>
      <c r="F47" s="38">
        <f>Assumptions!$G$58*F35</f>
        <v/>
      </c>
      <c r="G47" s="38">
        <f>Assumptions!$G$58*G35</f>
        <v/>
      </c>
      <c r="H47" s="38">
        <f>Assumptions!$G$58*H35</f>
        <v/>
      </c>
      <c r="I47" s="38">
        <f>Assumptions!$G$58*I35</f>
        <v/>
      </c>
      <c r="J47" s="38">
        <f>Assumptions!$G$58*J35</f>
        <v/>
      </c>
      <c r="K47" s="38">
        <f>Assumptions!$G$58*K35</f>
        <v/>
      </c>
      <c r="L47" s="38">
        <f>Assumptions!$G$58*L35</f>
        <v/>
      </c>
      <c r="M47" s="38">
        <f>Assumptions!$G$58*M35</f>
        <v/>
      </c>
      <c r="N47" s="38">
        <f>Assumptions!$G$58*N35</f>
        <v/>
      </c>
    </row>
    <row r="48">
      <c r="A48" s="3" t="inlineStr">
        <is>
          <t>TOTAL OPEX</t>
        </is>
      </c>
      <c r="B48" s="3" t="inlineStr">
        <is>
          <t>AED m</t>
        </is>
      </c>
      <c r="C48" s="39">
        <f>SUM(C38:C41)+SUM(C42:C47)</f>
        <v/>
      </c>
      <c r="D48" s="39">
        <f>SUM(D38:D41)+SUM(D42:D47)</f>
        <v/>
      </c>
      <c r="E48" s="39">
        <f>SUM(E38:E41)+SUM(E42:E47)</f>
        <v/>
      </c>
      <c r="F48" s="39">
        <f>SUM(F38:F41)+SUM(F42:F47)</f>
        <v/>
      </c>
      <c r="G48" s="39">
        <f>SUM(G38:G41)+SUM(G42:G47)</f>
        <v/>
      </c>
      <c r="H48" s="39">
        <f>SUM(H38:H41)+SUM(H42:H47)</f>
        <v/>
      </c>
      <c r="I48" s="39">
        <f>SUM(I38:I41)+SUM(I42:I47)</f>
        <v/>
      </c>
      <c r="J48" s="39">
        <f>SUM(J38:J41)+SUM(J42:J47)</f>
        <v/>
      </c>
      <c r="K48" s="39">
        <f>SUM(K38:K41)+SUM(K42:K47)</f>
        <v/>
      </c>
      <c r="L48" s="39">
        <f>SUM(L38:L41)+SUM(L42:L47)</f>
        <v/>
      </c>
      <c r="M48" s="39">
        <f>SUM(M38:M41)+SUM(M42:M47)</f>
        <v/>
      </c>
      <c r="N48" s="39">
        <f>SUM(N38:N41)+SUM(N42:N47)</f>
        <v/>
      </c>
    </row>
    <row r="49">
      <c r="A49" s="6" t="inlineStr">
        <is>
          <t>D - P&amp;L, FINANCING, TAX</t>
        </is>
      </c>
    </row>
    <row r="50">
      <c r="A50" s="3" t="inlineStr">
        <is>
          <t>EBITDA</t>
        </is>
      </c>
      <c r="B50" s="3" t="inlineStr">
        <is>
          <t>AED m</t>
        </is>
      </c>
      <c r="C50" s="39">
        <f>C36-C48</f>
        <v/>
      </c>
      <c r="D50" s="39">
        <f>D36-D48</f>
        <v/>
      </c>
      <c r="E50" s="39">
        <f>E36-E48</f>
        <v/>
      </c>
      <c r="F50" s="39">
        <f>F36-F48</f>
        <v/>
      </c>
      <c r="G50" s="39">
        <f>G36-G48</f>
        <v/>
      </c>
      <c r="H50" s="39">
        <f>H36-H48</f>
        <v/>
      </c>
      <c r="I50" s="39">
        <f>I36-I48</f>
        <v/>
      </c>
      <c r="J50" s="39">
        <f>J36-J48</f>
        <v/>
      </c>
      <c r="K50" s="39">
        <f>K36-K48</f>
        <v/>
      </c>
      <c r="L50" s="39">
        <f>L36-L48</f>
        <v/>
      </c>
      <c r="M50" s="39">
        <f>M36-M48</f>
        <v/>
      </c>
      <c r="N50" s="39">
        <f>N36-N48</f>
        <v/>
      </c>
    </row>
    <row r="51">
      <c r="A51" t="inlineStr">
        <is>
          <t>Depreciation &amp; amortisation</t>
        </is>
      </c>
      <c r="B51" t="inlineStr">
        <is>
          <t>AED m</t>
        </is>
      </c>
      <c r="C51" s="38">
        <f>Phased_CAPEX!C36</f>
        <v/>
      </c>
      <c r="D51" s="38">
        <f>Phased_CAPEX!D36</f>
        <v/>
      </c>
      <c r="E51" s="38">
        <f>Phased_CAPEX!E36</f>
        <v/>
      </c>
      <c r="F51" s="38">
        <f>Phased_CAPEX!F36</f>
        <v/>
      </c>
      <c r="G51" s="38">
        <f>Phased_CAPEX!G36</f>
        <v/>
      </c>
      <c r="H51" s="38">
        <f>Phased_CAPEX!H36</f>
        <v/>
      </c>
      <c r="I51" s="38">
        <f>Phased_CAPEX!I36</f>
        <v/>
      </c>
      <c r="J51" s="38">
        <f>Phased_CAPEX!J36</f>
        <v/>
      </c>
      <c r="K51" s="38">
        <f>Phased_CAPEX!K36</f>
        <v/>
      </c>
      <c r="L51" s="38">
        <f>Phased_CAPEX!L36</f>
        <v/>
      </c>
      <c r="M51" s="38">
        <f>Phased_CAPEX!M36</f>
        <v/>
      </c>
      <c r="N51" s="38">
        <f>Phased_CAPEX!N36</f>
        <v/>
      </c>
    </row>
    <row r="52">
      <c r="A52" t="inlineStr">
        <is>
          <t>EBIT</t>
        </is>
      </c>
      <c r="B52" t="inlineStr">
        <is>
          <t>AED m</t>
        </is>
      </c>
      <c r="C52" s="38">
        <f>C50-C51</f>
        <v/>
      </c>
      <c r="D52" s="38">
        <f>D50-D51</f>
        <v/>
      </c>
      <c r="E52" s="38">
        <f>E50-E51</f>
        <v/>
      </c>
      <c r="F52" s="38">
        <f>F50-F51</f>
        <v/>
      </c>
      <c r="G52" s="38">
        <f>G50-G51</f>
        <v/>
      </c>
      <c r="H52" s="38">
        <f>H50-H51</f>
        <v/>
      </c>
      <c r="I52" s="38">
        <f>I50-I51</f>
        <v/>
      </c>
      <c r="J52" s="38">
        <f>J50-J51</f>
        <v/>
      </c>
      <c r="K52" s="38">
        <f>K50-K51</f>
        <v/>
      </c>
      <c r="L52" s="38">
        <f>L50-L51</f>
        <v/>
      </c>
      <c r="M52" s="38">
        <f>M50-M51</f>
        <v/>
      </c>
      <c r="N52" s="38">
        <f>N50-N51</f>
        <v/>
      </c>
    </row>
    <row r="53">
      <c r="A53" t="inlineStr">
        <is>
          <t>CAPEX</t>
        </is>
      </c>
      <c r="B53" t="inlineStr">
        <is>
          <t>AED m</t>
        </is>
      </c>
      <c r="C53" s="38">
        <f>Phased_CAPEX!C23</f>
        <v/>
      </c>
      <c r="D53" s="38">
        <f>Phased_CAPEX!D23</f>
        <v/>
      </c>
      <c r="E53" s="38">
        <f>Phased_CAPEX!E23</f>
        <v/>
      </c>
      <c r="F53" s="38">
        <f>Phased_CAPEX!F23</f>
        <v/>
      </c>
      <c r="G53" s="38">
        <f>Phased_CAPEX!G23</f>
        <v/>
      </c>
      <c r="H53" s="38">
        <f>0</f>
        <v/>
      </c>
      <c r="I53" s="38">
        <f>0</f>
        <v/>
      </c>
      <c r="J53" s="38">
        <f>0</f>
        <v/>
      </c>
      <c r="K53" s="38">
        <f>0</f>
        <v/>
      </c>
      <c r="L53" s="38">
        <f>0</f>
        <v/>
      </c>
      <c r="M53" s="38">
        <f>0</f>
        <v/>
      </c>
      <c r="N53" s="38">
        <f>0</f>
        <v/>
      </c>
    </row>
    <row r="54">
      <c r="A54" t="inlineStr">
        <is>
          <t>Debt drawn (60% of capex)</t>
        </is>
      </c>
      <c r="B54" t="inlineStr">
        <is>
          <t>AED m</t>
        </is>
      </c>
      <c r="C54" s="38">
        <f>Assumptions!$G$71*C53</f>
        <v/>
      </c>
      <c r="D54" s="38">
        <f>Assumptions!$G$71*D53</f>
        <v/>
      </c>
      <c r="E54" s="38">
        <f>Assumptions!$G$71*E53</f>
        <v/>
      </c>
      <c r="F54" s="38">
        <f>Assumptions!$G$71*F53</f>
        <v/>
      </c>
      <c r="G54" s="38">
        <f>Assumptions!$G$71*G53</f>
        <v/>
      </c>
      <c r="H54" s="38">
        <f>Assumptions!$G$71*H53</f>
        <v/>
      </c>
      <c r="I54" s="38">
        <f>Assumptions!$G$71*I53</f>
        <v/>
      </c>
      <c r="J54" s="38">
        <f>Assumptions!$G$71*J53</f>
        <v/>
      </c>
      <c r="K54" s="38">
        <f>Assumptions!$G$71*K53</f>
        <v/>
      </c>
      <c r="L54" s="38">
        <f>Assumptions!$G$71*L53</f>
        <v/>
      </c>
      <c r="M54" s="38">
        <f>Assumptions!$G$71*M53</f>
        <v/>
      </c>
      <c r="N54" s="38">
        <f>Assumptions!$G$71*N53</f>
        <v/>
      </c>
    </row>
    <row r="55">
      <c r="A55" t="inlineStr">
        <is>
          <t>Debt repayment (10-yr SL from 2031)</t>
        </is>
      </c>
      <c r="B55" t="inlineStr">
        <is>
          <t>AED m</t>
        </is>
      </c>
      <c r="C55" s="38">
        <f>IF(AND(2026&gt;=Phased_Assumptions!$D$30,2026&lt;Phased_Assumptions!$D$30+10),SUM($C$54:$G$54)/10,0)</f>
        <v/>
      </c>
      <c r="D55" s="38">
        <f>IF(AND(2027&gt;=Phased_Assumptions!$D$30,2027&lt;Phased_Assumptions!$D$30+10),SUM($C$54:$G$54)/10,0)</f>
        <v/>
      </c>
      <c r="E55" s="38">
        <f>IF(AND(2028&gt;=Phased_Assumptions!$D$30,2028&lt;Phased_Assumptions!$D$30+10),SUM($C$54:$G$54)/10,0)</f>
        <v/>
      </c>
      <c r="F55" s="38">
        <f>IF(AND(2029&gt;=Phased_Assumptions!$D$30,2029&lt;Phased_Assumptions!$D$30+10),SUM($C$54:$G$54)/10,0)</f>
        <v/>
      </c>
      <c r="G55" s="38">
        <f>IF(AND(2030&gt;=Phased_Assumptions!$D$30,2030&lt;Phased_Assumptions!$D$30+10),SUM($C$54:$G$54)/10,0)</f>
        <v/>
      </c>
      <c r="H55" s="38">
        <f>IF(AND(2031&gt;=Phased_Assumptions!$D$30,2031&lt;Phased_Assumptions!$D$30+10),SUM($C$54:$G$54)/10,0)</f>
        <v/>
      </c>
      <c r="I55" s="38">
        <f>IF(AND(2032&gt;=Phased_Assumptions!$D$30,2032&lt;Phased_Assumptions!$D$30+10),SUM($C$54:$G$54)/10,0)</f>
        <v/>
      </c>
      <c r="J55" s="38">
        <f>IF(AND(2033&gt;=Phased_Assumptions!$D$30,2033&lt;Phased_Assumptions!$D$30+10),SUM($C$54:$G$54)/10,0)</f>
        <v/>
      </c>
      <c r="K55" s="38">
        <f>IF(AND(2034&gt;=Phased_Assumptions!$D$30,2034&lt;Phased_Assumptions!$D$30+10),SUM($C$54:$G$54)/10,0)</f>
        <v/>
      </c>
      <c r="L55" s="38">
        <f>IF(AND(2035&gt;=Phased_Assumptions!$D$30,2035&lt;Phased_Assumptions!$D$30+10),SUM($C$54:$G$54)/10,0)</f>
        <v/>
      </c>
      <c r="M55" s="38">
        <f>IF(AND(2036&gt;=Phased_Assumptions!$D$30,2036&lt;Phased_Assumptions!$D$30+10),SUM($C$54:$G$54)/10,0)</f>
        <v/>
      </c>
      <c r="N55" s="38">
        <f>IF(AND(2037&gt;=Phased_Assumptions!$D$30,2037&lt;Phased_Assumptions!$D$30+10),SUM($C$54:$G$54)/10,0)</f>
        <v/>
      </c>
    </row>
    <row r="56">
      <c r="A56" t="inlineStr">
        <is>
          <t>Debt balance (end-year)</t>
        </is>
      </c>
      <c r="B56" t="inlineStr">
        <is>
          <t>AED m</t>
        </is>
      </c>
      <c r="C56" s="38">
        <f>C54-C55</f>
        <v/>
      </c>
      <c r="D56" s="38">
        <f>C56+D54-D55</f>
        <v/>
      </c>
      <c r="E56" s="38">
        <f>D56+E54-E55</f>
        <v/>
      </c>
      <c r="F56" s="38">
        <f>E56+F54-F55</f>
        <v/>
      </c>
      <c r="G56" s="38">
        <f>F56+G54-G55</f>
        <v/>
      </c>
      <c r="H56" s="38">
        <f>G56+H54-H55</f>
        <v/>
      </c>
      <c r="I56" s="38">
        <f>H56+I54-I55</f>
        <v/>
      </c>
      <c r="J56" s="38">
        <f>I56+J54-J55</f>
        <v/>
      </c>
      <c r="K56" s="38">
        <f>J56+K54-K55</f>
        <v/>
      </c>
      <c r="L56" s="38">
        <f>K56+L54-L55</f>
        <v/>
      </c>
      <c r="M56" s="38">
        <f>L56+M54-M55</f>
        <v/>
      </c>
      <c r="N56" s="38">
        <f>M56+N54-N55</f>
        <v/>
      </c>
    </row>
    <row r="57">
      <c r="A57" t="inlineStr">
        <is>
          <t>Interest expense</t>
        </is>
      </c>
      <c r="B57" t="inlineStr">
        <is>
          <t>AED m</t>
        </is>
      </c>
      <c r="C57" s="38">
        <f>Assumptions!$G$72*0.5*C54</f>
        <v/>
      </c>
      <c r="D57" s="38">
        <f>Assumptions!$G$72*(C56+0.5*D54)</f>
        <v/>
      </c>
      <c r="E57" s="38">
        <f>Assumptions!$G$72*(D56+0.5*E54)</f>
        <v/>
      </c>
      <c r="F57" s="38">
        <f>Assumptions!$G$72*(E56+0.5*F54)</f>
        <v/>
      </c>
      <c r="G57" s="38">
        <f>Assumptions!$G$72*(F56+0.5*G54)</f>
        <v/>
      </c>
      <c r="H57" s="38">
        <f>Assumptions!$G$72*(G56+0.5*H54)</f>
        <v/>
      </c>
      <c r="I57" s="38">
        <f>Assumptions!$G$72*(H56+0.5*I54)</f>
        <v/>
      </c>
      <c r="J57" s="38">
        <f>Assumptions!$G$72*(I56+0.5*J54)</f>
        <v/>
      </c>
      <c r="K57" s="38">
        <f>Assumptions!$G$72*(J56+0.5*K54)</f>
        <v/>
      </c>
      <c r="L57" s="38">
        <f>Assumptions!$G$72*(K56+0.5*L54)</f>
        <v/>
      </c>
      <c r="M57" s="38">
        <f>Assumptions!$G$72*(L56+0.5*M54)</f>
        <v/>
      </c>
      <c r="N57" s="38">
        <f>Assumptions!$G$72*(M56+0.5*N54)</f>
        <v/>
      </c>
    </row>
    <row r="58">
      <c r="A58" t="inlineStr">
        <is>
          <t>Pre-tax income (EBT)</t>
        </is>
      </c>
      <c r="B58" t="inlineStr">
        <is>
          <t>AED m</t>
        </is>
      </c>
      <c r="C58" s="38">
        <f>C52-C57</f>
        <v/>
      </c>
      <c r="D58" s="38">
        <f>D52-D57</f>
        <v/>
      </c>
      <c r="E58" s="38">
        <f>E52-E57</f>
        <v/>
      </c>
      <c r="F58" s="38">
        <f>F52-F57</f>
        <v/>
      </c>
      <c r="G58" s="38">
        <f>G52-G57</f>
        <v/>
      </c>
      <c r="H58" s="38">
        <f>H52-H57</f>
        <v/>
      </c>
      <c r="I58" s="38">
        <f>I52-I57</f>
        <v/>
      </c>
      <c r="J58" s="38">
        <f>J52-J57</f>
        <v/>
      </c>
      <c r="K58" s="38">
        <f>K52-K57</f>
        <v/>
      </c>
      <c r="L58" s="38">
        <f>L52-L57</f>
        <v/>
      </c>
      <c r="M58" s="38">
        <f>M52-M57</f>
        <v/>
      </c>
      <c r="N58" s="38">
        <f>N52-N57</f>
        <v/>
      </c>
    </row>
    <row r="59">
      <c r="A59" t="inlineStr">
        <is>
          <t>Corporate tax (9% if positive)</t>
        </is>
      </c>
      <c r="B59" t="inlineStr">
        <is>
          <t>AED m</t>
        </is>
      </c>
      <c r="C59" s="38">
        <f>MAX(0,C58)*Assumptions!$G$12</f>
        <v/>
      </c>
      <c r="D59" s="38">
        <f>MAX(0,D58)*Assumptions!$G$12</f>
        <v/>
      </c>
      <c r="E59" s="38">
        <f>MAX(0,E58)*Assumptions!$G$12</f>
        <v/>
      </c>
      <c r="F59" s="38">
        <f>MAX(0,F58)*Assumptions!$G$12</f>
        <v/>
      </c>
      <c r="G59" s="38">
        <f>MAX(0,G58)*Assumptions!$G$12</f>
        <v/>
      </c>
      <c r="H59" s="38">
        <f>MAX(0,H58)*Assumptions!$G$12</f>
        <v/>
      </c>
      <c r="I59" s="38">
        <f>MAX(0,I58)*Assumptions!$G$12</f>
        <v/>
      </c>
      <c r="J59" s="38">
        <f>MAX(0,J58)*Assumptions!$G$12</f>
        <v/>
      </c>
      <c r="K59" s="38">
        <f>MAX(0,K58)*Assumptions!$G$12</f>
        <v/>
      </c>
      <c r="L59" s="38">
        <f>MAX(0,L58)*Assumptions!$G$12</f>
        <v/>
      </c>
      <c r="M59" s="38">
        <f>MAX(0,M58)*Assumptions!$G$12</f>
        <v/>
      </c>
      <c r="N59" s="38">
        <f>MAX(0,N58)*Assumptions!$G$12</f>
        <v/>
      </c>
    </row>
    <row r="60">
      <c r="A60" s="3" t="inlineStr">
        <is>
          <t>NET INCOME</t>
        </is>
      </c>
      <c r="B60" s="3" t="inlineStr">
        <is>
          <t>AED m</t>
        </is>
      </c>
      <c r="C60" s="39">
        <f>C58-C59</f>
        <v/>
      </c>
      <c r="D60" s="39">
        <f>D58-D59</f>
        <v/>
      </c>
      <c r="E60" s="39">
        <f>E58-E59</f>
        <v/>
      </c>
      <c r="F60" s="39">
        <f>F58-F59</f>
        <v/>
      </c>
      <c r="G60" s="39">
        <f>G58-G59</f>
        <v/>
      </c>
      <c r="H60" s="39">
        <f>H58-H59</f>
        <v/>
      </c>
      <c r="I60" s="39">
        <f>I58-I59</f>
        <v/>
      </c>
      <c r="J60" s="39">
        <f>J58-J59</f>
        <v/>
      </c>
      <c r="K60" s="39">
        <f>K58-K59</f>
        <v/>
      </c>
      <c r="L60" s="39">
        <f>L58-L59</f>
        <v/>
      </c>
      <c r="M60" s="39">
        <f>M58-M59</f>
        <v/>
      </c>
      <c r="N60" s="39">
        <f>N58-N59</f>
        <v/>
      </c>
    </row>
    <row r="61"/>
    <row r="62">
      <c r="A62" t="inlineStr">
        <is>
          <t>Memo: unlevered tax (on EBIT) - used in project FCF</t>
        </is>
      </c>
      <c r="B62" t="inlineStr">
        <is>
          <t>AED m</t>
        </is>
      </c>
      <c r="C62" s="38">
        <f>MAX(0,C52)*Assumptions!$G$12</f>
        <v/>
      </c>
      <c r="D62" s="38">
        <f>MAX(0,D52)*Assumptions!$G$12</f>
        <v/>
      </c>
      <c r="E62" s="38">
        <f>MAX(0,E52)*Assumptions!$G$12</f>
        <v/>
      </c>
      <c r="F62" s="38">
        <f>MAX(0,F52)*Assumptions!$G$12</f>
        <v/>
      </c>
      <c r="G62" s="38">
        <f>MAX(0,G52)*Assumptions!$G$12</f>
        <v/>
      </c>
      <c r="H62" s="38">
        <f>MAX(0,H52)*Assumptions!$G$12</f>
        <v/>
      </c>
      <c r="I62" s="38">
        <f>MAX(0,I52)*Assumptions!$G$12</f>
        <v/>
      </c>
      <c r="J62" s="38">
        <f>MAX(0,J52)*Assumptions!$G$12</f>
        <v/>
      </c>
      <c r="K62" s="38">
        <f>MAX(0,K52)*Assumptions!$G$12</f>
        <v/>
      </c>
      <c r="L62" s="38">
        <f>MAX(0,L52)*Assumptions!$G$12</f>
        <v/>
      </c>
      <c r="M62" s="38">
        <f>MAX(0,M52)*Assumptions!$G$12</f>
        <v/>
      </c>
      <c r="N62" s="38">
        <f>MAX(0,N52)*Assumptions!$G$12</f>
        <v/>
      </c>
    </row>
    <row r="63"/>
    <row r="64">
      <c r="A64" s="2" t="inlineStr">
        <is>
          <t>Note: same conservative conventions as base - no loss carry-forward; fees escalated; materials flat in real terms. Unredeemed deposits remain escrowed pass-through liabilities, never operator revenue (R5 §A.4).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N41"/>
  <sheetViews>
    <sheetView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4" customWidth="1" min="1" max="1"/>
    <col width="8" customWidth="1" min="2" max="2"/>
    <col width="10" customWidth="1" min="3" max="3"/>
    <col width="10" customWidth="1" min="4" max="4"/>
    <col width="58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>
      <c r="A1" s="1" t="inlineStr">
        <is>
          <t>Phased Scenario - Returns &amp; National Comparison</t>
        </is>
      </c>
    </row>
    <row r="2">
      <c r="A2" s="34" t="inlineStr">
        <is>
          <t>AED millions. Project FCF = EBITDA − unlevered tax − capex (same convention as base Returns sheet). Phasing cuts capital at risk before proof of performance, but the Phase-2 build overlaps the re-started ramp, so the funding trough lands later and deeper.</t>
        </is>
      </c>
    </row>
    <row r="3"/>
    <row r="4"/>
    <row r="5">
      <c r="A5" s="31" t="inlineStr">
        <is>
          <t>Line</t>
        </is>
      </c>
      <c r="B5" s="31" t="inlineStr">
        <is>
          <t>Unit</t>
        </is>
      </c>
      <c r="C5" s="31" t="n">
        <v>2026</v>
      </c>
      <c r="D5" s="31" t="n">
        <v>2027</v>
      </c>
      <c r="E5" s="31" t="n">
        <v>2028</v>
      </c>
      <c r="F5" s="31" t="n">
        <v>2029</v>
      </c>
      <c r="G5" s="31" t="n">
        <v>2030</v>
      </c>
      <c r="H5" s="31" t="n">
        <v>2031</v>
      </c>
      <c r="I5" s="31" t="n">
        <v>2032</v>
      </c>
      <c r="J5" s="31" t="n">
        <v>2033</v>
      </c>
      <c r="K5" s="31" t="n">
        <v>2034</v>
      </c>
      <c r="L5" s="31" t="n">
        <v>2035</v>
      </c>
      <c r="M5" s="31" t="n">
        <v>2036</v>
      </c>
      <c r="N5" s="31" t="n">
        <v>2037</v>
      </c>
    </row>
    <row r="6">
      <c r="A6" s="6" t="inlineStr">
        <is>
          <t>A - PROJECT (UNLEVERED) FREE CASH FLOW</t>
        </is>
      </c>
    </row>
    <row r="7">
      <c r="A7" t="inlineStr">
        <is>
          <t>EBITDA</t>
        </is>
      </c>
      <c r="B7" t="inlineStr">
        <is>
          <t>AED m</t>
        </is>
      </c>
      <c r="C7" s="38">
        <f>'Phased_P&amp;L'!C50</f>
        <v/>
      </c>
      <c r="D7" s="38">
        <f>'Phased_P&amp;L'!D50</f>
        <v/>
      </c>
      <c r="E7" s="38">
        <f>'Phased_P&amp;L'!E50</f>
        <v/>
      </c>
      <c r="F7" s="38">
        <f>'Phased_P&amp;L'!F50</f>
        <v/>
      </c>
      <c r="G7" s="38">
        <f>'Phased_P&amp;L'!G50</f>
        <v/>
      </c>
      <c r="H7" s="38">
        <f>'Phased_P&amp;L'!H50</f>
        <v/>
      </c>
      <c r="I7" s="38">
        <f>'Phased_P&amp;L'!I50</f>
        <v/>
      </c>
      <c r="J7" s="38">
        <f>'Phased_P&amp;L'!J50</f>
        <v/>
      </c>
      <c r="K7" s="38">
        <f>'Phased_P&amp;L'!K50</f>
        <v/>
      </c>
      <c r="L7" s="38">
        <f>'Phased_P&amp;L'!L50</f>
        <v/>
      </c>
      <c r="M7" s="38">
        <f>'Phased_P&amp;L'!M50</f>
        <v/>
      </c>
      <c r="N7" s="38">
        <f>'Phased_P&amp;L'!N50</f>
        <v/>
      </c>
    </row>
    <row r="8">
      <c r="A8" t="inlineStr">
        <is>
          <t>Unlevered tax</t>
        </is>
      </c>
      <c r="B8" t="inlineStr">
        <is>
          <t>AED m</t>
        </is>
      </c>
      <c r="C8" s="38">
        <f>'Phased_P&amp;L'!C62</f>
        <v/>
      </c>
      <c r="D8" s="38">
        <f>'Phased_P&amp;L'!D62</f>
        <v/>
      </c>
      <c r="E8" s="38">
        <f>'Phased_P&amp;L'!E62</f>
        <v/>
      </c>
      <c r="F8" s="38">
        <f>'Phased_P&amp;L'!F62</f>
        <v/>
      </c>
      <c r="G8" s="38">
        <f>'Phased_P&amp;L'!G62</f>
        <v/>
      </c>
      <c r="H8" s="38">
        <f>'Phased_P&amp;L'!H62</f>
        <v/>
      </c>
      <c r="I8" s="38">
        <f>'Phased_P&amp;L'!I62</f>
        <v/>
      </c>
      <c r="J8" s="38">
        <f>'Phased_P&amp;L'!J62</f>
        <v/>
      </c>
      <c r="K8" s="38">
        <f>'Phased_P&amp;L'!K62</f>
        <v/>
      </c>
      <c r="L8" s="38">
        <f>'Phased_P&amp;L'!L62</f>
        <v/>
      </c>
      <c r="M8" s="38">
        <f>'Phased_P&amp;L'!M62</f>
        <v/>
      </c>
      <c r="N8" s="38">
        <f>'Phased_P&amp;L'!N62</f>
        <v/>
      </c>
    </row>
    <row r="9">
      <c r="A9" t="inlineStr">
        <is>
          <t>CAPEX</t>
        </is>
      </c>
      <c r="B9" t="inlineStr">
        <is>
          <t>AED m</t>
        </is>
      </c>
      <c r="C9" s="38">
        <f>'Phased_P&amp;L'!C53</f>
        <v/>
      </c>
      <c r="D9" s="38">
        <f>'Phased_P&amp;L'!D53</f>
        <v/>
      </c>
      <c r="E9" s="38">
        <f>'Phased_P&amp;L'!E53</f>
        <v/>
      </c>
      <c r="F9" s="38">
        <f>'Phased_P&amp;L'!F53</f>
        <v/>
      </c>
      <c r="G9" s="38">
        <f>'Phased_P&amp;L'!G53</f>
        <v/>
      </c>
      <c r="H9" s="38">
        <f>'Phased_P&amp;L'!H53</f>
        <v/>
      </c>
      <c r="I9" s="38">
        <f>'Phased_P&amp;L'!I53</f>
        <v/>
      </c>
      <c r="J9" s="38">
        <f>'Phased_P&amp;L'!J53</f>
        <v/>
      </c>
      <c r="K9" s="38">
        <f>'Phased_P&amp;L'!K53</f>
        <v/>
      </c>
      <c r="L9" s="38">
        <f>'Phased_P&amp;L'!L53</f>
        <v/>
      </c>
      <c r="M9" s="38">
        <f>'Phased_P&amp;L'!M53</f>
        <v/>
      </c>
      <c r="N9" s="38">
        <f>'Phased_P&amp;L'!N53</f>
        <v/>
      </c>
    </row>
    <row r="10">
      <c r="A10" s="3" t="inlineStr">
        <is>
          <t>Project FCF</t>
        </is>
      </c>
      <c r="B10" s="3" t="inlineStr">
        <is>
          <t>AED m</t>
        </is>
      </c>
      <c r="C10" s="39">
        <f>C7-C8-C9</f>
        <v/>
      </c>
      <c r="D10" s="39">
        <f>D7-D8-D9</f>
        <v/>
      </c>
      <c r="E10" s="39">
        <f>E7-E8-E9</f>
        <v/>
      </c>
      <c r="F10" s="39">
        <f>F7-F8-F9</f>
        <v/>
      </c>
      <c r="G10" s="39">
        <f>G7-G8-G9</f>
        <v/>
      </c>
      <c r="H10" s="39">
        <f>H7-H8-H9</f>
        <v/>
      </c>
      <c r="I10" s="39">
        <f>I7-I8-I9</f>
        <v/>
      </c>
      <c r="J10" s="39">
        <f>J7-J8-J9</f>
        <v/>
      </c>
      <c r="K10" s="39">
        <f>K7-K8-K9</f>
        <v/>
      </c>
      <c r="L10" s="39">
        <f>L7-L8-L9</f>
        <v/>
      </c>
      <c r="M10" s="39">
        <f>M7-M8-M9</f>
        <v/>
      </c>
      <c r="N10" s="39">
        <f>N7-N8-N9</f>
        <v/>
      </c>
    </row>
    <row r="11">
      <c r="A11" t="inlineStr">
        <is>
          <t>Cumulative FCF</t>
        </is>
      </c>
      <c r="B11" t="inlineStr">
        <is>
          <t>AED m</t>
        </is>
      </c>
      <c r="C11" s="38">
        <f>C10</f>
        <v/>
      </c>
      <c r="D11" s="38">
        <f>C11+D10</f>
        <v/>
      </c>
      <c r="E11" s="38">
        <f>D11+E10</f>
        <v/>
      </c>
      <c r="F11" s="38">
        <f>E11+F10</f>
        <v/>
      </c>
      <c r="G11" s="38">
        <f>F11+G10</f>
        <v/>
      </c>
      <c r="H11" s="38">
        <f>G11+H10</f>
        <v/>
      </c>
      <c r="I11" s="38">
        <f>H11+I10</f>
        <v/>
      </c>
      <c r="J11" s="38">
        <f>I11+J10</f>
        <v/>
      </c>
      <c r="K11" s="38">
        <f>J11+K10</f>
        <v/>
      </c>
      <c r="L11" s="38">
        <f>K11+L10</f>
        <v/>
      </c>
      <c r="M11" s="38">
        <f>L11+M10</f>
        <v/>
      </c>
      <c r="N11" s="38">
        <f>M11+N10</f>
        <v/>
      </c>
    </row>
    <row r="12"/>
    <row r="13">
      <c r="A13" s="3" t="inlineStr">
        <is>
          <t>Project IRR (2026-2037)</t>
        </is>
      </c>
      <c r="C13" s="43">
        <f>IFERROR(IRR(C10:N10),"n.m.")</f>
        <v/>
      </c>
    </row>
    <row r="14">
      <c r="A14" s="3" t="inlineStr">
        <is>
          <t>NPV @ 8% (AED m)</t>
        </is>
      </c>
      <c r="C14" s="44">
        <f>NPV(0.08,D10:N10)+C10</f>
        <v/>
      </c>
    </row>
    <row r="15">
      <c r="A15" s="3" t="inlineStr">
        <is>
          <t>NPV @ 10% (AED m)</t>
        </is>
      </c>
      <c r="C15" s="44">
        <f>NPV(0.1,D10:N10)+C10</f>
        <v/>
      </c>
    </row>
    <row r="16">
      <c r="A16" s="3" t="inlineStr">
        <is>
          <t>Payback year (cumulative FCF ≥ 0)</t>
        </is>
      </c>
      <c r="C16" s="44">
        <f>IF(MAX(C11:N11)&lt;0,"n.m.",INDEX(C5:N5,SUMPRODUCT((C11:N11&lt;0)*1)+1))</f>
        <v/>
      </c>
    </row>
    <row r="17">
      <c r="A17" s="3" t="inlineStr">
        <is>
          <t>Peak funding requirement (AED m)</t>
        </is>
      </c>
      <c r="C17" s="44">
        <f>-MIN(C11:N11)</f>
        <v/>
      </c>
    </row>
    <row r="18">
      <c r="A18" s="3" t="inlineStr">
        <is>
          <t>Total CAPEX (AED m)</t>
        </is>
      </c>
      <c r="C18" s="44">
        <f>SUM(C9:N9)</f>
        <v/>
      </c>
    </row>
    <row r="19">
      <c r="A19" s="3" t="inlineStr">
        <is>
          <t>- Phase 1 CAPEX (Dubai + Abu Dhabi)</t>
        </is>
      </c>
      <c r="C19" s="44">
        <f>SUM(Phased_CAPEX!C25:G25)</f>
        <v/>
      </c>
    </row>
    <row r="20">
      <c r="A20" s="3" t="inlineStr">
        <is>
          <t>- Phase 2 CAPEX (national expansion)</t>
        </is>
      </c>
      <c r="C20" s="44">
        <f>SUM(Phased_CAPEX!C26:G26)</f>
        <v/>
      </c>
    </row>
    <row r="21"/>
    <row r="22">
      <c r="A22" s="6" t="inlineStr">
        <is>
          <t>B - NATIONAL (DAY-ONE) vs PHASED ROLLOUT</t>
        </is>
      </c>
    </row>
    <row r="23">
      <c r="A23" s="31" t="inlineStr">
        <is>
          <t>Metric</t>
        </is>
      </c>
      <c r="B23" s="31" t="inlineStr"/>
      <c r="C23" s="31" t="inlineStr">
        <is>
          <t>National (base)</t>
        </is>
      </c>
      <c r="D23" s="31" t="inlineStr">
        <is>
          <t>Phased</t>
        </is>
      </c>
      <c r="E23" s="31" t="inlineStr">
        <is>
          <t>Reading</t>
        </is>
      </c>
    </row>
    <row r="24">
      <c r="A24" t="inlineStr">
        <is>
          <t>Launch coverage</t>
        </is>
      </c>
      <c r="C24" t="inlineStr">
        <is>
          <t>100% from 2028 (H1)</t>
        </is>
      </c>
      <c r="D24" t="inlineStr">
        <is>
          <t>65% from H2 2028; 100% from 2030</t>
        </is>
      </c>
      <c r="E24" t="inlineStr">
        <is>
          <t>Phased defers Northern Emirates by ~2 years</t>
        </is>
      </c>
    </row>
    <row r="25">
      <c r="A25" t="inlineStr">
        <is>
          <t>Total CAPEX (AED m)</t>
        </is>
      </c>
      <c r="C25" s="37">
        <f>CAPEX!G15</f>
        <v/>
      </c>
      <c r="D25" s="37">
        <f>C18</f>
        <v/>
      </c>
      <c r="E25" t="inlineStr">
        <is>
          <t>Same total - same unit costs, only timing differs</t>
        </is>
      </c>
    </row>
    <row r="26">
      <c r="A26" t="inlineStr">
        <is>
          <t>Peak funding (AED m)</t>
        </is>
      </c>
      <c r="C26" s="37">
        <f>Returns!C18</f>
        <v/>
      </c>
      <c r="D26" s="37">
        <f>C17</f>
        <v/>
      </c>
      <c r="E26" t="inlineStr">
        <is>
          <t>Phased trough is ~AED 133m DEEPER and later (2029 vs 2028): the Phase-2 build overlaps the re-started 55% ramp. But capital committed before the go/no-go gate is ~AED 172m lower.</t>
        </is>
      </c>
    </row>
    <row r="27">
      <c r="A27" t="inlineStr">
        <is>
          <t>Project IRR</t>
        </is>
      </c>
      <c r="C27" s="35">
        <f>Returns!C14</f>
        <v/>
      </c>
      <c r="D27" s="35">
        <f>C13</f>
        <v/>
      </c>
      <c r="E27" t="inlineStr">
        <is>
          <t>National higher: surpluses start earlier on full POM</t>
        </is>
      </c>
    </row>
    <row r="28">
      <c r="A28" t="inlineStr">
        <is>
          <t>NPV @ 8% (AED m)</t>
        </is>
      </c>
      <c r="C28" s="37">
        <f>Returns!C15</f>
        <v/>
      </c>
      <c r="D28" s="37">
        <f>C14</f>
        <v/>
      </c>
      <c r="E28" t="inlineStr">
        <is>
          <t>Time value favours earlier national cash flows</t>
        </is>
      </c>
    </row>
    <row r="29">
      <c r="A29" t="inlineStr">
        <is>
          <t>Payback year</t>
        </is>
      </c>
      <c r="C29" s="37">
        <f>Returns!C17</f>
        <v/>
      </c>
      <c r="D29" s="37">
        <f>C16</f>
        <v/>
      </c>
      <c r="E29" t="inlineStr">
        <is>
          <t>Phased payback later (second mobilisation + shifted ramp)</t>
        </is>
      </c>
    </row>
    <row r="30">
      <c r="A30" t="inlineStr">
        <is>
          <t>90% national return rate</t>
        </is>
      </c>
      <c r="C30" t="inlineStr">
        <is>
          <t>2035</t>
        </is>
      </c>
      <c r="D30" t="inlineStr">
        <is>
          <t>2037</t>
        </is>
      </c>
      <c r="E30" t="inlineStr">
        <is>
          <t>Phase 2 ramp re-starts at 55% in 2030</t>
        </is>
      </c>
    </row>
    <row r="31"/>
    <row r="32">
      <c r="A32" s="45" t="inlineStr">
        <is>
          <t>Advantages of phased:</t>
        </is>
      </c>
    </row>
    <row r="33">
      <c r="A33" t="inlineStr">
        <is>
          <t>1. Lower capital at risk before proof - 2026-28 commitments AED ~395m vs ~AED 567m national (−30%); the Phase-2 tranche (~AED 228m) is committed only after ~1.5 years of live Dubai/Abu Dhabi operating data.</t>
        </is>
      </c>
    </row>
    <row r="34">
      <c r="A34" t="inlineStr">
        <is>
          <t>2. Proof before full commitment - Dubai + Abu Dhabi cover ~65-70% of volume; government can validate return rates, fraud controls and fee calibration before national mandate.</t>
        </is>
      </c>
    </row>
    <row r="35">
      <c r="A35" t="inlineStr">
        <is>
          <t>3. Learning - IT, logistics and retailer onboarding debugged in the two most organised retail markets; Phase 2 benefits from live operating data (Türkiye-style pilot precedent, R1).</t>
        </is>
      </c>
    </row>
    <row r="36">
      <c r="A36" s="45" t="inlineStr">
        <is>
          <t>Disadvantages of phased:</t>
        </is>
      </c>
    </row>
    <row r="37">
      <c r="A37" t="inlineStr">
        <is>
          <t>1. Slower national impact - Northern Emirates ( ~30% of population) wait until 2030; 90% national return reached 2037 vs 2035.</t>
        </is>
      </c>
    </row>
    <row r="38">
      <c r="A38" t="inlineStr">
        <is>
          <t>2. Dual mobilisation cost - two launch campaigns and a second build wave (modelled conservatively at NO premium: same AED 664m total; any real premium worsens phased economics).</t>
        </is>
      </c>
    </row>
    <row r="39">
      <c r="A39" t="inlineStr">
        <is>
          <t>3. Later steady state - payback slips to 2032 (vs 2031); NPV @8% ~AED 140m lower; funding trough ~AED 133m deeper and a year later (2029) as the Phase-2 build overlaps the re-started ramp; cross-border leakage risk at emirate boundaries during Phase 1.</t>
        </is>
      </c>
    </row>
    <row r="40"/>
    <row r="41">
      <c r="A41" s="2" t="inlineStr">
        <is>
          <t>HARD RULE inherited from base model: unredeemed deposits are never operator/SPV revenue (Segen pledge, R5 §A.4).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7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14" customWidth="1" min="3" max="3"/>
    <col width="13" customWidth="1" min="4" max="4"/>
    <col width="13" customWidth="1" min="5" max="5"/>
    <col width="13" customWidth="1" min="6" max="6"/>
    <col width="13" customWidth="1" min="7" max="7"/>
    <col width="46" customWidth="1" min="8" max="8"/>
    <col width="52" customWidth="1" min="9" max="9"/>
  </cols>
  <sheetData>
    <row r="1">
      <c r="A1" s="1" t="inlineStr">
        <is>
          <t>Assumptions Register</t>
        </is>
      </c>
    </row>
    <row r="2">
      <c r="A2" s="2" t="inlineStr">
        <is>
          <t>All values in AED unless noted. Scenario toggle switches the Active column used by every other sheet.</t>
        </is>
      </c>
    </row>
    <row r="3">
      <c r="A3" s="3" t="inlineStr">
        <is>
          <t>Scenario toggle (1=Conservative, 2=Base, 3=Optimistic):</t>
        </is>
      </c>
      <c r="D3" s="4" t="n">
        <v>2</v>
      </c>
    </row>
    <row r="4"/>
    <row r="5">
      <c r="A5" s="5" t="inlineStr">
        <is>
          <t>Code</t>
        </is>
      </c>
      <c r="B5" s="5" t="inlineStr">
        <is>
          <t>Assumption</t>
        </is>
      </c>
      <c r="C5" s="5" t="inlineStr">
        <is>
          <t>Unit</t>
        </is>
      </c>
      <c r="D5" s="5" t="inlineStr">
        <is>
          <t>Conservative</t>
        </is>
      </c>
      <c r="E5" s="5" t="inlineStr">
        <is>
          <t>Base</t>
        </is>
      </c>
      <c r="F5" s="5" t="inlineStr">
        <is>
          <t>Optimistic</t>
        </is>
      </c>
      <c r="G5" s="5" t="inlineStr">
        <is>
          <t>Active</t>
        </is>
      </c>
      <c r="H5" s="5" t="inlineStr">
        <is>
          <t>Source</t>
        </is>
      </c>
      <c r="I5" s="5" t="inlineStr">
        <is>
          <t>Notes</t>
        </is>
      </c>
    </row>
    <row r="6">
      <c r="A6" s="6" t="inlineStr">
        <is>
          <t>GENERAL &amp; FX</t>
        </is>
      </c>
      <c r="B6" s="7" t="n"/>
      <c r="C6" s="7" t="n"/>
      <c r="D6" s="7" t="n"/>
      <c r="E6" s="7" t="n"/>
      <c r="F6" s="7" t="n"/>
      <c r="G6" s="7" t="n"/>
      <c r="H6" s="7" t="n"/>
      <c r="I6" s="7" t="n"/>
    </row>
    <row r="7">
      <c r="A7" s="8" t="inlineStr">
        <is>
          <t>FX_USD</t>
        </is>
      </c>
      <c r="B7" s="9" t="inlineStr">
        <is>
          <t>USD to AED</t>
        </is>
      </c>
      <c r="C7" s="8" t="inlineStr">
        <is>
          <t>AED/USD</t>
        </is>
      </c>
      <c r="D7" s="10" t="n">
        <v>3.6725</v>
      </c>
      <c r="E7" s="10" t="n">
        <v>3.6725</v>
      </c>
      <c r="F7" s="10" t="n">
        <v>3.6725</v>
      </c>
      <c r="G7" s="11">
        <f>CHOOSE($D$3,D7,E7,F7)</f>
        <v/>
      </c>
      <c r="H7" s="12" t="inlineStr">
        <is>
          <t>Sourced - USD peg</t>
        </is>
      </c>
      <c r="I7" s="13" t="inlineStr"/>
    </row>
    <row r="8">
      <c r="A8" s="8" t="inlineStr">
        <is>
          <t>FX_EUR</t>
        </is>
      </c>
      <c r="B8" s="9" t="inlineStr">
        <is>
          <t>EUR to AED</t>
        </is>
      </c>
      <c r="C8" s="8" t="inlineStr">
        <is>
          <t>AED/EUR</t>
        </is>
      </c>
      <c r="D8" s="10" t="n">
        <v>4</v>
      </c>
      <c r="E8" s="10" t="n">
        <v>4</v>
      </c>
      <c r="F8" s="10" t="n">
        <v>4</v>
      </c>
      <c r="G8" s="11">
        <f>CHOOSE($D$3,D8,E8,F8)</f>
        <v/>
      </c>
      <c r="H8" s="12" t="inlineStr">
        <is>
          <t>Analyst estimate</t>
        </is>
      </c>
      <c r="I8" s="13" t="inlineStr">
        <is>
          <t>~1.09 USD/EUR x 3.6725 peg</t>
        </is>
      </c>
    </row>
    <row r="9">
      <c r="A9" s="8" t="inlineStr">
        <is>
          <t>POP</t>
        </is>
      </c>
      <c r="B9" s="9" t="inlineStr">
        <is>
          <t>UAE population 2024</t>
        </is>
      </c>
      <c r="C9" s="8" t="inlineStr">
        <is>
          <t>million</t>
        </is>
      </c>
      <c r="D9" s="14" t="n">
        <v>11.294</v>
      </c>
      <c r="E9" s="14" t="n">
        <v>11.294</v>
      </c>
      <c r="F9" s="14" t="n">
        <v>11.294</v>
      </c>
      <c r="G9" s="15">
        <f>CHOOSE($D$3,D9,E9,F9)</f>
        <v/>
      </c>
      <c r="H9" s="12" t="inlineStr">
        <is>
          <t>R5/S1 - FCSC via Gulf News</t>
        </is>
      </c>
      <c r="I9" s="13" t="inlineStr">
        <is>
          <t>11,294,243 residents</t>
        </is>
      </c>
    </row>
    <row r="10">
      <c r="A10" s="8" t="inlineStr">
        <is>
          <t>DENS</t>
        </is>
      </c>
      <c r="B10" s="9" t="inlineStr">
        <is>
          <t>Return-network density target</t>
        </is>
      </c>
      <c r="C10" s="8" t="inlineStr">
        <is>
          <t>people/point</t>
        </is>
      </c>
      <c r="D10" s="16" t="n">
        <v>1500</v>
      </c>
      <c r="E10" s="16" t="n">
        <v>1250</v>
      </c>
      <c r="F10" s="16" t="n">
        <v>1000</v>
      </c>
      <c r="G10" s="17">
        <f>CHOOSE($D$3,D10,E10,F10)</f>
        <v/>
      </c>
      <c r="H10" s="12" t="inlineStr">
        <is>
          <t>R1 §5(7) - best performers &lt;1,000-1,500</t>
        </is>
      </c>
      <c r="I10" s="13" t="inlineStr">
        <is>
          <t>Implies ~9,000 return points (RVM + manual/HoReCa)</t>
        </is>
      </c>
    </row>
    <row r="11">
      <c r="A11" s="8" t="inlineStr">
        <is>
          <t>ESCAL</t>
        </is>
      </c>
      <c r="B11" s="9" t="inlineStr">
        <is>
          <t>Annual cost/fee escalation</t>
        </is>
      </c>
      <c r="C11" s="8" t="inlineStr">
        <is>
          <t>%/yr</t>
        </is>
      </c>
      <c r="D11" s="18" t="n">
        <v>0.01</v>
      </c>
      <c r="E11" s="18" t="n">
        <v>0.02</v>
      </c>
      <c r="F11" s="18" t="n">
        <v>0.025</v>
      </c>
      <c r="G11" s="19">
        <f>CHOOSE($D$3,D11,E11,F11)</f>
        <v/>
      </c>
      <c r="H11" s="12" t="inlineStr">
        <is>
          <t>Analyst estimate</t>
        </is>
      </c>
      <c r="I11" s="13" t="inlineStr"/>
    </row>
    <row r="12">
      <c r="A12" s="8" t="inlineStr">
        <is>
          <t>TAX</t>
        </is>
      </c>
      <c r="B12" s="9" t="inlineStr">
        <is>
          <t>UAE corporate tax rate</t>
        </is>
      </c>
      <c r="C12" s="8" t="inlineStr">
        <is>
          <t>%</t>
        </is>
      </c>
      <c r="D12" s="18" t="n">
        <v>0.09</v>
      </c>
      <c r="E12" s="18" t="n">
        <v>0.09</v>
      </c>
      <c r="F12" s="18" t="n">
        <v>0.09</v>
      </c>
      <c r="G12" s="19">
        <f>CHOOSE($D$3,D12,E12,F12)</f>
        <v/>
      </c>
      <c r="H12" s="12" t="inlineStr">
        <is>
          <t>Sourced - UAE CT</t>
        </is>
      </c>
      <c r="I12" s="13" t="inlineStr">
        <is>
          <t>Applied on positive pre-tax income only; loss carry-forward ignored</t>
        </is>
      </c>
    </row>
    <row r="13">
      <c r="A13" s="8" t="inlineStr">
        <is>
          <t>DEP</t>
        </is>
      </c>
      <c r="B13" s="9" t="inlineStr">
        <is>
          <t>Deposit value (flat, all materials)</t>
        </is>
      </c>
      <c r="C13" s="8" t="inlineStr">
        <is>
          <t>AED/container</t>
        </is>
      </c>
      <c r="D13" s="14" t="n">
        <v>0.25</v>
      </c>
      <c r="E13" s="14" t="n">
        <v>0.25</v>
      </c>
      <c r="F13" s="14" t="n">
        <v>0.25</v>
      </c>
      <c r="G13" s="15">
        <f>CHOOSE($D$3,D13,E13,F13)</f>
        <v/>
      </c>
      <c r="H13" s="12" t="inlineStr">
        <is>
          <t>Recommendation - see R7 memo</t>
        </is>
      </c>
      <c r="I13" s="13" t="inlineStr">
        <is>
          <t>Survey sensitivity basis (R5); EU benchmarks EUR 0.10-0.25 (R1)</t>
        </is>
      </c>
    </row>
    <row r="14">
      <c r="A14" s="6" t="inlineStr">
        <is>
          <t>MARKET - CONTAINERS PLACED ON MARKET (POM), 2028 LAUNCH YEAR</t>
        </is>
      </c>
      <c r="B14" s="7" t="n"/>
      <c r="C14" s="7" t="n"/>
      <c r="D14" s="7" t="n"/>
      <c r="E14" s="7" t="n"/>
      <c r="F14" s="7" t="n"/>
      <c r="G14" s="7" t="n"/>
      <c r="H14" s="7" t="n"/>
      <c r="I14" s="7" t="n"/>
    </row>
    <row r="15">
      <c r="A15" s="8" t="inlineStr">
        <is>
          <t>POM_PET</t>
        </is>
      </c>
      <c r="B15" s="9" t="inlineStr">
        <is>
          <t>PET containers placed on market, 2028</t>
        </is>
      </c>
      <c r="C15" s="8" t="inlineStr">
        <is>
          <t>bn units/yr</t>
        </is>
      </c>
      <c r="D15" s="10" t="n">
        <v>2.6</v>
      </c>
      <c r="E15" s="10" t="n">
        <v>2.9</v>
      </c>
      <c r="F15" s="10" t="n">
        <v>3.3</v>
      </c>
      <c r="G15" s="11">
        <f>CHOOSE($D$3,D15,E15,F15)</f>
        <v/>
      </c>
      <c r="H15" s="12" t="inlineStr">
        <is>
          <t>R5 survey modelled range 2.1-3.8bn</t>
        </is>
      </c>
      <c r="I15" s="13" t="inlineStr">
        <is>
          <t>Base = mid-range; requires producer/importer validation (survey caveat)</t>
        </is>
      </c>
    </row>
    <row r="16">
      <c r="A16" s="8" t="inlineStr">
        <is>
          <t>POM_ALU</t>
        </is>
      </c>
      <c r="B16" s="9" t="inlineStr">
        <is>
          <t>Aluminium cans placed on market, 2028</t>
        </is>
      </c>
      <c r="C16" s="8" t="inlineStr">
        <is>
          <t>bn units/yr</t>
        </is>
      </c>
      <c r="D16" s="10" t="n">
        <v>0.66</v>
      </c>
      <c r="E16" s="10" t="n">
        <v>0.66</v>
      </c>
      <c r="F16" s="10" t="n">
        <v>0.66</v>
      </c>
      <c r="G16" s="11">
        <f>CHOOSE($D$3,D16,E16,F16)</f>
        <v/>
      </c>
      <c r="H16" s="12" t="inlineStr">
        <is>
          <t>R3/R5 - EGA 2024 (published)</t>
        </is>
      </c>
      <c r="I16" s="13" t="inlineStr">
        <is>
          <t>660m cans/yr, &gt;60 per resident</t>
        </is>
      </c>
    </row>
    <row r="17">
      <c r="A17" s="8" t="inlineStr">
        <is>
          <t>POM_GL</t>
        </is>
      </c>
      <c r="B17" s="9" t="inlineStr">
        <is>
          <t>Glass beverage containers, 2028</t>
        </is>
      </c>
      <c r="C17" s="8" t="inlineStr">
        <is>
          <t>bn units/yr</t>
        </is>
      </c>
      <c r="D17" s="10" t="n">
        <v>0.12</v>
      </c>
      <c r="E17" s="10" t="n">
        <v>0.18</v>
      </c>
      <c r="F17" s="10" t="n">
        <v>0.24</v>
      </c>
      <c r="G17" s="11">
        <f>CHOOSE($D$3,D17,E17,F17)</f>
        <v/>
      </c>
      <c r="H17" s="12" t="inlineStr">
        <is>
          <t>Analyst estimate</t>
        </is>
      </c>
      <c r="I17" s="13" t="inlineStr">
        <is>
          <t>No UAE glass data (R3/R5 gap); ~5% of PET+can volume, premium water/juice/HoReCa</t>
        </is>
      </c>
    </row>
    <row r="18">
      <c r="A18" s="8" t="inlineStr">
        <is>
          <t>GROWTH</t>
        </is>
      </c>
      <c r="B18" s="9" t="inlineStr">
        <is>
          <t>POM annual growth</t>
        </is>
      </c>
      <c r="C18" s="8" t="inlineStr">
        <is>
          <t>%/yr</t>
        </is>
      </c>
      <c r="D18" s="18" t="n">
        <v>0.01</v>
      </c>
      <c r="E18" s="18" t="n">
        <v>0.02</v>
      </c>
      <c r="F18" s="18" t="n">
        <v>0.025</v>
      </c>
      <c r="G18" s="19">
        <f>CHOOSE($D$3,D18,E18,F18)</f>
        <v/>
      </c>
      <c r="H18" s="12" t="inlineStr">
        <is>
          <t>Analyst estimate</t>
        </is>
      </c>
      <c r="I18" s="13" t="inlineStr">
        <is>
          <t>Population +5.7% in 2024 (R5/S1) + tourism; conservative container growth</t>
        </is>
      </c>
    </row>
    <row r="19">
      <c r="A19" s="6" t="inlineStr">
        <is>
          <t>RETURN RATE RAMP (share of POM returned, years 1-10)</t>
        </is>
      </c>
      <c r="B19" s="7" t="n"/>
      <c r="C19" s="7" t="n"/>
      <c r="D19" s="7" t="n"/>
      <c r="E19" s="7" t="n"/>
      <c r="F19" s="7" t="n"/>
      <c r="G19" s="7" t="n"/>
      <c r="H19" s="7" t="n"/>
      <c r="I19" s="7" t="n"/>
    </row>
    <row r="20">
      <c r="A20" s="8" t="inlineStr">
        <is>
          <t>RAMP_Y1</t>
        </is>
      </c>
      <c r="B20" s="9" t="inlineStr">
        <is>
          <t>Return rate - year 1 (2028)</t>
        </is>
      </c>
      <c r="C20" s="8" t="inlineStr">
        <is>
          <t>%</t>
        </is>
      </c>
      <c r="D20" s="18" t="n">
        <v>0.45</v>
      </c>
      <c r="E20" s="18" t="n">
        <v>0.55</v>
      </c>
      <c r="F20" s="18" t="n">
        <v>0.65</v>
      </c>
      <c r="G20" s="19">
        <f>CHOOSE($D$3,D20,E20,F20)</f>
        <v/>
      </c>
      <c r="H20" s="12" t="inlineStr">
        <is>
          <t>R1 benchmarks (RO 83-84% yr2, HU 88.8% yr2, AT 81.5% yr1)</t>
        </is>
      </c>
      <c r="I20" s="13" t="inlineStr"/>
    </row>
    <row r="21">
      <c r="A21" s="8" t="inlineStr">
        <is>
          <t>RAMP_Y2</t>
        </is>
      </c>
      <c r="B21" s="9" t="inlineStr">
        <is>
          <t>Return rate - year 2 (2029)</t>
        </is>
      </c>
      <c r="C21" s="8" t="inlineStr">
        <is>
          <t>%</t>
        </is>
      </c>
      <c r="D21" s="18" t="n">
        <v>0.6</v>
      </c>
      <c r="E21" s="18" t="n">
        <v>0.7</v>
      </c>
      <c r="F21" s="18" t="n">
        <v>0.78</v>
      </c>
      <c r="G21" s="19">
        <f>CHOOSE($D$3,D21,E21,F21)</f>
        <v/>
      </c>
      <c r="H21" s="12" t="inlineStr">
        <is>
          <t>R1 ramp-to-90% pattern</t>
        </is>
      </c>
      <c r="I21" s="13" t="inlineStr"/>
    </row>
    <row r="22">
      <c r="A22" s="8" t="inlineStr">
        <is>
          <t>RAMP_Y3</t>
        </is>
      </c>
      <c r="B22" s="9" t="inlineStr">
        <is>
          <t>Return rate - year 3 (2030)</t>
        </is>
      </c>
      <c r="C22" s="8" t="inlineStr">
        <is>
          <t>%</t>
        </is>
      </c>
      <c r="D22" s="18" t="n">
        <v>0.68</v>
      </c>
      <c r="E22" s="18" t="n">
        <v>0.78</v>
      </c>
      <c r="F22" s="18" t="n">
        <v>0.84</v>
      </c>
      <c r="G22" s="19">
        <f>CHOOSE($D$3,D22,E22,F22)</f>
        <v/>
      </c>
      <c r="H22" s="12" t="inlineStr">
        <is>
          <t>R1 ramp-to-90% pattern</t>
        </is>
      </c>
      <c r="I22" s="13" t="inlineStr"/>
    </row>
    <row r="23">
      <c r="A23" s="8" t="inlineStr">
        <is>
          <t>RAMP_Y4</t>
        </is>
      </c>
      <c r="B23" s="9" t="inlineStr">
        <is>
          <t>Return rate - year 4 (2031)</t>
        </is>
      </c>
      <c r="C23" s="8" t="inlineStr">
        <is>
          <t>%</t>
        </is>
      </c>
      <c r="D23" s="18" t="n">
        <v>0.73</v>
      </c>
      <c r="E23" s="18" t="n">
        <v>0.83</v>
      </c>
      <c r="F23" s="18" t="n">
        <v>0.87</v>
      </c>
      <c r="G23" s="19">
        <f>CHOOSE($D$3,D23,E23,F23)</f>
        <v/>
      </c>
      <c r="H23" s="12" t="inlineStr">
        <is>
          <t>R1 ramp-to-90% pattern</t>
        </is>
      </c>
      <c r="I23" s="13" t="inlineStr"/>
    </row>
    <row r="24">
      <c r="A24" s="8" t="inlineStr">
        <is>
          <t>RAMP_Y5</t>
        </is>
      </c>
      <c r="B24" s="9" t="inlineStr">
        <is>
          <t>Return rate - year 5 (2032)</t>
        </is>
      </c>
      <c r="C24" s="8" t="inlineStr">
        <is>
          <t>%</t>
        </is>
      </c>
      <c r="D24" s="18" t="n">
        <v>0.76</v>
      </c>
      <c r="E24" s="18" t="n">
        <v>0.86</v>
      </c>
      <c r="F24" s="18" t="n">
        <v>0.89</v>
      </c>
      <c r="G24" s="19">
        <f>CHOOSE($D$3,D24,E24,F24)</f>
        <v/>
      </c>
      <c r="H24" s="12" t="inlineStr">
        <is>
          <t>R1 ramp-to-90% pattern</t>
        </is>
      </c>
      <c r="I24" s="13" t="inlineStr"/>
    </row>
    <row r="25">
      <c r="A25" s="8" t="inlineStr">
        <is>
          <t>RAMP_Y6</t>
        </is>
      </c>
      <c r="B25" s="9" t="inlineStr">
        <is>
          <t>Return rate - year 6 (2033)</t>
        </is>
      </c>
      <c r="C25" s="8" t="inlineStr">
        <is>
          <t>%</t>
        </is>
      </c>
      <c r="D25" s="18" t="n">
        <v>0.78</v>
      </c>
      <c r="E25" s="18" t="n">
        <v>0.88</v>
      </c>
      <c r="F25" s="18" t="n">
        <v>0.9</v>
      </c>
      <c r="G25" s="19">
        <f>CHOOSE($D$3,D25,E25,F25)</f>
        <v/>
      </c>
      <c r="H25" s="12" t="inlineStr">
        <is>
          <t>R1 ramp-to-90% pattern</t>
        </is>
      </c>
      <c r="I25" s="13" t="inlineStr"/>
    </row>
    <row r="26">
      <c r="A26" s="8" t="inlineStr">
        <is>
          <t>RAMP_Y7</t>
        </is>
      </c>
      <c r="B26" s="9" t="inlineStr">
        <is>
          <t>Return rate - year 7 (2034)</t>
        </is>
      </c>
      <c r="C26" s="8" t="inlineStr">
        <is>
          <t>%</t>
        </is>
      </c>
      <c r="D26" s="18" t="n">
        <v>0.79</v>
      </c>
      <c r="E26" s="18" t="n">
        <v>0.89</v>
      </c>
      <c r="F26" s="18" t="n">
        <v>0.91</v>
      </c>
      <c r="G26" s="19">
        <f>CHOOSE($D$3,D26,E26,F26)</f>
        <v/>
      </c>
      <c r="H26" s="12" t="inlineStr">
        <is>
          <t>R1 ramp-to-90% pattern</t>
        </is>
      </c>
      <c r="I26" s="13" t="inlineStr"/>
    </row>
    <row r="27">
      <c r="A27" s="8" t="inlineStr">
        <is>
          <t>RAMP_Y8</t>
        </is>
      </c>
      <c r="B27" s="9" t="inlineStr">
        <is>
          <t>Return rate - year 8 (2035)</t>
        </is>
      </c>
      <c r="C27" s="8" t="inlineStr">
        <is>
          <t>%</t>
        </is>
      </c>
      <c r="D27" s="18" t="n">
        <v>0.8</v>
      </c>
      <c r="E27" s="18" t="n">
        <v>0.9</v>
      </c>
      <c r="F27" s="18" t="n">
        <v>0.91</v>
      </c>
      <c r="G27" s="19">
        <f>CHOOSE($D$3,D27,E27,F27)</f>
        <v/>
      </c>
      <c r="H27" s="12" t="inlineStr">
        <is>
          <t>R1 ramp-to-90% pattern</t>
        </is>
      </c>
      <c r="I27" s="13" t="inlineStr">
        <is>
          <t>EU PPWR-style 90% target</t>
        </is>
      </c>
    </row>
    <row r="28">
      <c r="A28" s="8" t="inlineStr">
        <is>
          <t>RAMP_Y9</t>
        </is>
      </c>
      <c r="B28" s="9" t="inlineStr">
        <is>
          <t>Return rate - year 9 (2036)</t>
        </is>
      </c>
      <c r="C28" s="8" t="inlineStr">
        <is>
          <t>%</t>
        </is>
      </c>
      <c r="D28" s="18" t="n">
        <v>0.8</v>
      </c>
      <c r="E28" s="18" t="n">
        <v>0.9</v>
      </c>
      <c r="F28" s="18" t="n">
        <v>0.91</v>
      </c>
      <c r="G28" s="19">
        <f>CHOOSE($D$3,D28,E28,F28)</f>
        <v/>
      </c>
      <c r="H28" s="12" t="inlineStr">
        <is>
          <t>R1 ramp-to-90% pattern</t>
        </is>
      </c>
      <c r="I28" s="13" t="inlineStr">
        <is>
          <t>EU PPWR-style 90% target</t>
        </is>
      </c>
    </row>
    <row r="29">
      <c r="A29" s="8" t="inlineStr">
        <is>
          <t>RAMP_Y10</t>
        </is>
      </c>
      <c r="B29" s="9" t="inlineStr">
        <is>
          <t>Return rate - year 10 (2037)</t>
        </is>
      </c>
      <c r="C29" s="8" t="inlineStr">
        <is>
          <t>%</t>
        </is>
      </c>
      <c r="D29" s="18" t="n">
        <v>0.8</v>
      </c>
      <c r="E29" s="18" t="n">
        <v>0.9</v>
      </c>
      <c r="F29" s="18" t="n">
        <v>0.91</v>
      </c>
      <c r="G29" s="19">
        <f>CHOOSE($D$3,D29,E29,F29)</f>
        <v/>
      </c>
      <c r="H29" s="12" t="inlineStr">
        <is>
          <t>R1 ramp-to-90% pattern</t>
        </is>
      </c>
      <c r="I29" s="13" t="inlineStr">
        <is>
          <t>EU PPWR-style 90% target</t>
        </is>
      </c>
    </row>
    <row r="30">
      <c r="A30" s="6" t="inlineStr">
        <is>
          <t>CAPEX</t>
        </is>
      </c>
      <c r="B30" s="7" t="n"/>
      <c r="C30" s="7" t="n"/>
      <c r="D30" s="7" t="n"/>
      <c r="E30" s="7" t="n"/>
      <c r="F30" s="7" t="n"/>
      <c r="G30" s="7" t="n"/>
      <c r="H30" s="7" t="n"/>
      <c r="I30" s="7" t="n"/>
    </row>
    <row r="31">
      <c r="A31" s="8" t="inlineStr">
        <is>
          <t>RVM_N</t>
        </is>
      </c>
      <c r="B31" s="9" t="inlineStr">
        <is>
          <t>RVM fleet size (operator-owned)</t>
        </is>
      </c>
      <c r="C31" s="8" t="inlineStr">
        <is>
          <t>units</t>
        </is>
      </c>
      <c r="D31" s="16" t="n">
        <v>3000</v>
      </c>
      <c r="E31" s="16" t="n">
        <v>3500</v>
      </c>
      <c r="F31" s="16" t="n">
        <v>4000</v>
      </c>
      <c r="G31" s="17">
        <f>CHOOSE($D$3,D31,E31,F31)</f>
        <v/>
      </c>
      <c r="H31" s="12" t="inlineStr">
        <is>
          <t>R3 - MDPI 2023 UAE study (3,500+); R1 Hungary ~3,200 people/RVM</t>
        </is>
      </c>
      <c r="I31" s="13" t="inlineStr">
        <is>
          <t>~3,225 people/RVM at base; rest of network manual/HoReCa points</t>
        </is>
      </c>
    </row>
    <row r="32">
      <c r="A32" s="8" t="inlineStr">
        <is>
          <t>RVM_COST</t>
        </is>
      </c>
      <c r="B32" s="9" t="inlineStr">
        <is>
          <t>RVM all-in installed cost</t>
        </is>
      </c>
      <c r="C32" s="8" t="inlineStr">
        <is>
          <t>AED/unit</t>
        </is>
      </c>
      <c r="D32" s="16" t="n">
        <v>130000</v>
      </c>
      <c r="E32" s="16" t="n">
        <v>110000</v>
      </c>
      <c r="F32" s="16" t="n">
        <v>95000</v>
      </c>
      <c r="G32" s="17">
        <f>CHOOSE($D$3,D32,E32,F32)</f>
        <v/>
      </c>
      <c r="H32" s="12" t="inlineStr">
        <is>
          <t>R4 - $10-25k standard, &gt;$30k AI; Ireland €15-30k</t>
        </is>
      </c>
      <c r="I32" s="13" t="inlineStr">
        <is>
          <t>Multi-material compacting unit + Gulf install/shading; MDPI cites ~AED 150k installed</t>
        </is>
      </c>
    </row>
    <row r="33">
      <c r="A33" s="8" t="inlineStr">
        <is>
          <t>RVM_LIFE</t>
        </is>
      </c>
      <c r="B33" s="9" t="inlineStr">
        <is>
          <t>RVM depreciation life</t>
        </is>
      </c>
      <c r="C33" s="8" t="inlineStr">
        <is>
          <t>years</t>
        </is>
      </c>
      <c r="D33" s="16" t="n">
        <v>6</v>
      </c>
      <c r="E33" s="16" t="n">
        <v>6</v>
      </c>
      <c r="F33" s="16" t="n">
        <v>6</v>
      </c>
      <c r="G33" s="17">
        <f>CHOOSE($D$3,D33,E33,F33)</f>
        <v/>
      </c>
      <c r="H33" s="12" t="inlineStr">
        <is>
          <t>R4 - PALPA 6-year compensation rule</t>
        </is>
      </c>
      <c r="I33" s="13" t="inlineStr"/>
    </row>
    <row r="34">
      <c r="A34" s="8" t="inlineStr">
        <is>
          <t>CENT_N</t>
        </is>
      </c>
      <c r="B34" s="9" t="inlineStr">
        <is>
          <t>Counting &amp; sorting centres</t>
        </is>
      </c>
      <c r="C34" s="8" t="inlineStr">
        <is>
          <t>units</t>
        </is>
      </c>
      <c r="D34" s="16" t="n">
        <v>3</v>
      </c>
      <c r="E34" s="16" t="n">
        <v>3</v>
      </c>
      <c r="F34" s="16" t="n">
        <v>3</v>
      </c>
      <c r="G34" s="17">
        <f>CHOOSE($D$3,D34,E34,F34)</f>
        <v/>
      </c>
      <c r="H34" s="12" t="inlineStr">
        <is>
          <t>Analyst estimate</t>
        </is>
      </c>
      <c r="I34" s="13" t="inlineStr">
        <is>
          <t>Dubai + Abu Dhabi + Sharjah/N.Emirates; Romania: 7 centres for ~7bn pkg/yr (R4)</t>
        </is>
      </c>
    </row>
    <row r="35">
      <c r="A35" s="8" t="inlineStr">
        <is>
          <t>CENT_COST</t>
        </is>
      </c>
      <c r="B35" s="9" t="inlineStr">
        <is>
          <t>Capex per counting/sorting centre</t>
        </is>
      </c>
      <c r="C35" s="8" t="inlineStr">
        <is>
          <t>AED m</t>
        </is>
      </c>
      <c r="D35" s="16" t="n">
        <v>40</v>
      </c>
      <c r="E35" s="16" t="n">
        <v>36</v>
      </c>
      <c r="F35" s="16" t="n">
        <v>32</v>
      </c>
      <c r="G35" s="17">
        <f>CHOOSE($D$3,D35,E35,F35)</f>
        <v/>
      </c>
      <c r="H35" s="12" t="inlineStr">
        <is>
          <t>R4 - Romania ~€8-9m/centre ×4.0 AED/EUR</t>
        </is>
      </c>
      <c r="I35" s="13" t="inlineStr">
        <is>
          <t>6,000-8,000 m² regional centres</t>
        </is>
      </c>
    </row>
    <row r="36">
      <c r="A36" s="8" t="inlineStr">
        <is>
          <t>CENT_LIFE</t>
        </is>
      </c>
      <c r="B36" s="9" t="inlineStr">
        <is>
          <t>Centre depreciation life</t>
        </is>
      </c>
      <c r="C36" s="8" t="inlineStr">
        <is>
          <t>years</t>
        </is>
      </c>
      <c r="D36" s="16" t="n">
        <v>15</v>
      </c>
      <c r="E36" s="16" t="n">
        <v>15</v>
      </c>
      <c r="F36" s="16" t="n">
        <v>15</v>
      </c>
      <c r="G36" s="17">
        <f>CHOOSE($D$3,D36,E36,F36)</f>
        <v/>
      </c>
      <c r="H36" s="12" t="inlineStr">
        <is>
          <t>Analyst estimate</t>
        </is>
      </c>
      <c r="I36" s="13" t="inlineStr"/>
    </row>
    <row r="37">
      <c r="A37" s="8" t="inlineStr">
        <is>
          <t>IT_CAPEX</t>
        </is>
      </c>
      <c r="B37" s="9" t="inlineStr">
        <is>
          <t>Central IT platform build</t>
        </is>
      </c>
      <c r="C37" s="8" t="inlineStr">
        <is>
          <t>AED m</t>
        </is>
      </c>
      <c r="D37" s="16" t="n">
        <v>40</v>
      </c>
      <c r="E37" s="16" t="n">
        <v>30</v>
      </c>
      <c r="F37" s="16" t="n">
        <v>25</v>
      </c>
      <c r="G37" s="17">
        <f>CHOOSE($D$3,D37,E37,F37)</f>
        <v/>
      </c>
      <c r="H37" s="12" t="inlineStr">
        <is>
          <t>Analyst estimate</t>
        </is>
      </c>
      <c r="I37" s="13" t="inlineStr">
        <is>
          <t>No disclosed national DRS IT contract values (R4 gap); barcode registry, clearing, voucher server, fraud controls</t>
        </is>
      </c>
    </row>
    <row r="38">
      <c r="A38" s="8" t="inlineStr">
        <is>
          <t>IT_LIFE</t>
        </is>
      </c>
      <c r="B38" s="9" t="inlineStr">
        <is>
          <t>IT depreciation life</t>
        </is>
      </c>
      <c r="C38" s="8" t="inlineStr">
        <is>
          <t>years</t>
        </is>
      </c>
      <c r="D38" s="16" t="n">
        <v>5</v>
      </c>
      <c r="E38" s="16" t="n">
        <v>5</v>
      </c>
      <c r="F38" s="16" t="n">
        <v>5</v>
      </c>
      <c r="G38" s="17">
        <f>CHOOSE($D$3,D38,E38,F38)</f>
        <v/>
      </c>
      <c r="H38" s="12" t="inlineStr">
        <is>
          <t>Analyst estimate</t>
        </is>
      </c>
      <c r="I38" s="13" t="inlineStr"/>
    </row>
    <row r="39">
      <c r="A39" s="8" t="inlineStr">
        <is>
          <t>VEH_CAPEX</t>
        </is>
      </c>
      <c r="B39" s="9" t="inlineStr">
        <is>
          <t>Collection vehicles &amp; logistics equipment</t>
        </is>
      </c>
      <c r="C39" s="8" t="inlineStr">
        <is>
          <t>AED m</t>
        </is>
      </c>
      <c r="D39" s="16" t="n">
        <v>50</v>
      </c>
      <c r="E39" s="16" t="n">
        <v>40</v>
      </c>
      <c r="F39" s="16" t="n">
        <v>30</v>
      </c>
      <c r="G39" s="17">
        <f>CHOOSE($D$3,D39,E39,F39)</f>
        <v/>
      </c>
      <c r="H39" s="12" t="inlineStr">
        <is>
          <t>Analyst estimate</t>
        </is>
      </c>
      <c r="I39" s="13" t="inlineStr">
        <is>
          <t>Backhaul-first design (Lithuania model) limits fleet</t>
        </is>
      </c>
    </row>
    <row r="40">
      <c r="A40" s="8" t="inlineStr">
        <is>
          <t>VEH_LIFE</t>
        </is>
      </c>
      <c r="B40" s="9" t="inlineStr">
        <is>
          <t>Vehicle depreciation life</t>
        </is>
      </c>
      <c r="C40" s="8" t="inlineStr">
        <is>
          <t>years</t>
        </is>
      </c>
      <c r="D40" s="16" t="n">
        <v>7</v>
      </c>
      <c r="E40" s="16" t="n">
        <v>7</v>
      </c>
      <c r="F40" s="16" t="n">
        <v>7</v>
      </c>
      <c r="G40" s="17">
        <f>CHOOSE($D$3,D40,E40,F40)</f>
        <v/>
      </c>
      <c r="H40" s="12" t="inlineStr">
        <is>
          <t>Analyst estimate</t>
        </is>
      </c>
      <c r="I40" s="13" t="inlineStr"/>
    </row>
    <row r="41">
      <c r="A41" s="8" t="inlineStr">
        <is>
          <t>SETUP</t>
        </is>
      </c>
      <c r="B41" s="9" t="inlineStr">
        <is>
          <t>Setup &amp; pre-launch costs (legal, DSO formation, registration, launch campaign)</t>
        </is>
      </c>
      <c r="C41" s="8" t="inlineStr">
        <is>
          <t>AED m</t>
        </is>
      </c>
      <c r="D41" s="16" t="n">
        <v>55</v>
      </c>
      <c r="E41" s="16" t="n">
        <v>45</v>
      </c>
      <c r="F41" s="16" t="n">
        <v>35</v>
      </c>
      <c r="G41" s="17">
        <f>CHOOSE($D$3,D41,E41,F41)</f>
        <v/>
      </c>
      <c r="H41" s="12" t="inlineStr">
        <is>
          <t>Analyst estimate</t>
        </is>
      </c>
      <c r="I41" s="13" t="inlineStr">
        <is>
          <t>Context: Romania setup €85-90m total loan; Ireland repaid setup from yr-1 surplus (R4)</t>
        </is>
      </c>
    </row>
    <row r="42">
      <c r="A42" s="8" t="inlineStr">
        <is>
          <t>SETUP_LIFE</t>
        </is>
      </c>
      <c r="B42" s="9" t="inlineStr">
        <is>
          <t>Setup cost amortisation</t>
        </is>
      </c>
      <c r="C42" s="8" t="inlineStr">
        <is>
          <t>years</t>
        </is>
      </c>
      <c r="D42" s="16" t="n">
        <v>10</v>
      </c>
      <c r="E42" s="16" t="n">
        <v>10</v>
      </c>
      <c r="F42" s="16" t="n">
        <v>10</v>
      </c>
      <c r="G42" s="17">
        <f>CHOOSE($D$3,D42,E42,F42)</f>
        <v/>
      </c>
      <c r="H42" s="12" t="inlineStr">
        <is>
          <t>Analyst estimate</t>
        </is>
      </c>
      <c r="I42" s="13" t="inlineStr"/>
    </row>
    <row r="43">
      <c r="A43" s="8" t="inlineStr">
        <is>
          <t>CONT</t>
        </is>
      </c>
      <c r="B43" s="9" t="inlineStr">
        <is>
          <t>Contingency on hard capex</t>
        </is>
      </c>
      <c r="C43" s="8" t="inlineStr">
        <is>
          <t>%</t>
        </is>
      </c>
      <c r="D43" s="18" t="n">
        <v>0.15</v>
      </c>
      <c r="E43" s="18" t="n">
        <v>0.1</v>
      </c>
      <c r="F43" s="18" t="n">
        <v>0.07000000000000001</v>
      </c>
      <c r="G43" s="19">
        <f>CHOOSE($D$3,D43,E43,F43)</f>
        <v/>
      </c>
      <c r="H43" s="12" t="inlineStr">
        <is>
          <t>Analyst estimate</t>
        </is>
      </c>
      <c r="I43" s="13" t="inlineStr">
        <is>
          <t>Applied to RVM, centres, IT, vehicles</t>
        </is>
      </c>
    </row>
    <row r="44">
      <c r="A44" s="8" t="inlineStr">
        <is>
          <t>PH27</t>
        </is>
      </c>
      <c r="B44" s="9" t="inlineStr">
        <is>
          <t>RVM rollout share 2027</t>
        </is>
      </c>
      <c r="C44" s="8" t="inlineStr">
        <is>
          <t>%</t>
        </is>
      </c>
      <c r="D44" s="18" t="n">
        <v>0.34</v>
      </c>
      <c r="E44" s="18" t="n">
        <v>0.34</v>
      </c>
      <c r="F44" s="18" t="n">
        <v>0.34</v>
      </c>
      <c r="G44" s="19">
        <f>CHOOSE($D$3,D44,E44,F44)</f>
        <v/>
      </c>
      <c r="H44" s="12" t="inlineStr">
        <is>
          <t>Analyst estimate</t>
        </is>
      </c>
      <c r="I44" s="13" t="inlineStr">
        <is>
          <t>Pre-launch installation wave</t>
        </is>
      </c>
    </row>
    <row r="45">
      <c r="A45" s="8" t="inlineStr">
        <is>
          <t>PH28</t>
        </is>
      </c>
      <c r="B45" s="9" t="inlineStr">
        <is>
          <t>RVM rollout share 2028</t>
        </is>
      </c>
      <c r="C45" s="8" t="inlineStr">
        <is>
          <t>%</t>
        </is>
      </c>
      <c r="D45" s="18" t="n">
        <v>0.43</v>
      </c>
      <c r="E45" s="18" t="n">
        <v>0.43</v>
      </c>
      <c r="F45" s="18" t="n">
        <v>0.43</v>
      </c>
      <c r="G45" s="19">
        <f>CHOOSE($D$3,D45,E45,F45)</f>
        <v/>
      </c>
      <c r="H45" s="12" t="inlineStr">
        <is>
          <t>Analyst estimate</t>
        </is>
      </c>
      <c r="I45" s="13" t="inlineStr"/>
    </row>
    <row r="46">
      <c r="A46" s="8" t="inlineStr">
        <is>
          <t>PH29</t>
        </is>
      </c>
      <c r="B46" s="9" t="inlineStr">
        <is>
          <t>RVM rollout share 2029</t>
        </is>
      </c>
      <c r="C46" s="8" t="inlineStr">
        <is>
          <t>%</t>
        </is>
      </c>
      <c r="D46" s="18" t="n">
        <v>0.23</v>
      </c>
      <c r="E46" s="18" t="n">
        <v>0.23</v>
      </c>
      <c r="F46" s="18" t="n">
        <v>0.23</v>
      </c>
      <c r="G46" s="19">
        <f>CHOOSE($D$3,D46,E46,F46)</f>
        <v/>
      </c>
      <c r="H46" s="12" t="inlineStr">
        <is>
          <t>Analyst estimate</t>
        </is>
      </c>
      <c r="I46" s="13" t="inlineStr">
        <is>
          <t>Completion + replacements</t>
        </is>
      </c>
    </row>
    <row r="47">
      <c r="A47" s="6" t="inlineStr">
        <is>
          <t>OPEX - VARIABLE (PER RETURNED CONTAINER, 2028 PRICES)</t>
        </is>
      </c>
      <c r="B47" s="7" t="n"/>
      <c r="C47" s="7" t="n"/>
      <c r="D47" s="7" t="n"/>
      <c r="E47" s="7" t="n"/>
      <c r="F47" s="7" t="n"/>
      <c r="G47" s="7" t="n"/>
      <c r="H47" s="7" t="n"/>
      <c r="I47" s="7" t="n"/>
    </row>
    <row r="48">
      <c r="A48" s="8" t="inlineStr">
        <is>
          <t>C_HAND</t>
        </is>
      </c>
      <c r="B48" s="9" t="inlineStr">
        <is>
          <t>Retailer handling fee (blended RVM+manual)</t>
        </is>
      </c>
      <c r="C48" s="8" t="inlineStr">
        <is>
          <t>AED/container</t>
        </is>
      </c>
      <c r="D48" s="14" t="n">
        <v>0.12</v>
      </c>
      <c r="E48" s="14" t="n">
        <v>0.1</v>
      </c>
      <c r="F48" s="14" t="n">
        <v>0.08500000000000001</v>
      </c>
      <c r="G48" s="15">
        <f>CHOOSE($D$3,D48,E48,F48)</f>
        <v/>
      </c>
      <c r="H48" s="12" t="inlineStr">
        <is>
          <t>R4 - Ireland €0.022-0.026, Lithuania €0.020-0.049</t>
        </is>
      </c>
      <c r="I48" s="13" t="inlineStr">
        <is>
          <t>Largest collection cost line in EU systems</t>
        </is>
      </c>
    </row>
    <row r="49">
      <c r="A49" s="8" t="inlineStr">
        <is>
          <t>C_LOG</t>
        </is>
      </c>
      <c r="B49" s="9" t="inlineStr">
        <is>
          <t>Collection &amp; logistics</t>
        </is>
      </c>
      <c r="C49" s="8" t="inlineStr">
        <is>
          <t>AED/container</t>
        </is>
      </c>
      <c r="D49" s="14" t="n">
        <v>0.075</v>
      </c>
      <c r="E49" s="14" t="n">
        <v>0.06</v>
      </c>
      <c r="F49" s="14" t="n">
        <v>0.05</v>
      </c>
      <c r="G49" s="15">
        <f>CHOOSE($D$3,D49,E49,F49)</f>
        <v/>
      </c>
      <c r="H49" s="12" t="inlineStr">
        <is>
          <t>R4 - derived from Ireland €0.053/container direct cost</t>
        </is>
      </c>
      <c r="I49" s="13" t="inlineStr">
        <is>
          <t>Ireland direct cost covers handling+logistics+processing</t>
        </is>
      </c>
    </row>
    <row r="50">
      <c r="A50" s="8" t="inlineStr">
        <is>
          <t>C_CENT</t>
        </is>
      </c>
      <c r="B50" s="9" t="inlineStr">
        <is>
          <t>Counting/sorting centre operations</t>
        </is>
      </c>
      <c r="C50" s="8" t="inlineStr">
        <is>
          <t>AED/container</t>
        </is>
      </c>
      <c r="D50" s="14" t="n">
        <v>0.06</v>
      </c>
      <c r="E50" s="14" t="n">
        <v>0.05</v>
      </c>
      <c r="F50" s="14" t="n">
        <v>0.04</v>
      </c>
      <c r="G50" s="15">
        <f>CHOOSE($D$3,D50,E50,F50)</f>
        <v/>
      </c>
      <c r="H50" s="12" t="inlineStr">
        <is>
          <t>R4 - derived from Ireland €0.053/container direct cost</t>
        </is>
      </c>
      <c r="I50" s="13" t="inlineStr"/>
    </row>
    <row r="51">
      <c r="A51" s="8" t="inlineStr">
        <is>
          <t>C_CONS</t>
        </is>
      </c>
      <c r="B51" s="9" t="inlineStr">
        <is>
          <t>RVM consumables (bags, printer rolls, cleaning)</t>
        </is>
      </c>
      <c r="C51" s="8" t="inlineStr">
        <is>
          <t>AED/container</t>
        </is>
      </c>
      <c r="D51" s="14" t="n">
        <v>0.012</v>
      </c>
      <c r="E51" s="14" t="n">
        <v>0.01</v>
      </c>
      <c r="F51" s="14" t="n">
        <v>0.008</v>
      </c>
      <c r="G51" s="15">
        <f>CHOOSE($D$3,D51,E51,F51)</f>
        <v/>
      </c>
      <c r="H51" s="12" t="inlineStr">
        <is>
          <t>R4 §2.1 - consumables benchmark</t>
        </is>
      </c>
      <c r="I51" s="13" t="inlineStr"/>
    </row>
    <row r="52">
      <c r="A52" s="8" t="inlineStr">
        <is>
          <t>C_MAINT</t>
        </is>
      </c>
      <c r="B52" s="9" t="inlineStr">
        <is>
          <t>RVM maintenance</t>
        </is>
      </c>
      <c r="C52" s="8" t="inlineStr">
        <is>
          <t>AED/machine/yr</t>
        </is>
      </c>
      <c r="D52" s="16" t="n">
        <v>5000</v>
      </c>
      <c r="E52" s="16" t="n">
        <v>4400</v>
      </c>
      <c r="F52" s="16" t="n">
        <v>4000</v>
      </c>
      <c r="G52" s="17">
        <f>CHOOSE($D$3,D52,E52,F52)</f>
        <v/>
      </c>
      <c r="H52" s="12" t="inlineStr">
        <is>
          <t>R4 - ~$1,200/machine/yr ×3.6725</t>
        </is>
      </c>
      <c r="I52" s="13" t="inlineStr"/>
    </row>
    <row r="53">
      <c r="A53" s="8" t="inlineStr">
        <is>
          <t>IT_OPEX</t>
        </is>
      </c>
      <c r="B53" s="9" t="inlineStr">
        <is>
          <t>Central IT operations &amp; licences</t>
        </is>
      </c>
      <c r="C53" s="8" t="inlineStr">
        <is>
          <t>AED m/yr</t>
        </is>
      </c>
      <c r="D53" s="16" t="n">
        <v>10</v>
      </c>
      <c r="E53" s="16" t="n">
        <v>8</v>
      </c>
      <c r="F53" s="16" t="n">
        <v>6</v>
      </c>
      <c r="G53" s="17">
        <f>CHOOSE($D$3,D53,E53,F53)</f>
        <v/>
      </c>
      <c r="H53" s="12" t="inlineStr">
        <is>
          <t>Analyst estimate</t>
        </is>
      </c>
      <c r="I53" s="13" t="inlineStr">
        <is>
          <t>Sensoneo company revenue &gt;€8m (2024) as scale signal (R4)</t>
        </is>
      </c>
    </row>
    <row r="54">
      <c r="A54" s="8" t="inlineStr">
        <is>
          <t>ADMIN</t>
        </is>
      </c>
      <c r="B54" s="9" t="inlineStr">
        <is>
          <t>DSO administration &amp; HQ</t>
        </is>
      </c>
      <c r="C54" s="8" t="inlineStr">
        <is>
          <t>AED m/yr</t>
        </is>
      </c>
      <c r="D54" s="16" t="n">
        <v>26</v>
      </c>
      <c r="E54" s="16" t="n">
        <v>20</v>
      </c>
      <c r="F54" s="16" t="n">
        <v>16</v>
      </c>
      <c r="G54" s="17">
        <f>CHOOSE($D$3,D54,E54,F54)</f>
        <v/>
      </c>
      <c r="H54" s="12" t="inlineStr">
        <is>
          <t>R4 - Ireland admin €15.7m/yr scaled to UAE volumes</t>
        </is>
      </c>
      <c r="I54" s="13" t="inlineStr"/>
    </row>
    <row r="55">
      <c r="A55" s="8" t="inlineStr">
        <is>
          <t>AW13</t>
        </is>
      </c>
      <c r="B55" s="9" t="inlineStr">
        <is>
          <t>Awareness campaigns, years 1-3</t>
        </is>
      </c>
      <c r="C55" s="8" t="inlineStr">
        <is>
          <t>AED m/yr</t>
        </is>
      </c>
      <c r="D55" s="16" t="n">
        <v>18</v>
      </c>
      <c r="E55" s="16" t="n">
        <v>15</v>
      </c>
      <c r="F55" s="16" t="n">
        <v>12</v>
      </c>
      <c r="G55" s="17">
        <f>CHOOSE($D$3,D55,E55,F55)</f>
        <v/>
      </c>
      <c r="H55" s="12" t="inlineStr">
        <is>
          <t>R4 - Ireland marketing €4.6m in year 1, scaled up for launch</t>
        </is>
      </c>
      <c r="I55" s="13" t="inlineStr"/>
    </row>
    <row r="56">
      <c r="A56" s="8" t="inlineStr">
        <is>
          <t>AWS</t>
        </is>
      </c>
      <c r="B56" s="9" t="inlineStr">
        <is>
          <t>Awareness campaigns, steady state</t>
        </is>
      </c>
      <c r="C56" s="8" t="inlineStr">
        <is>
          <t>AED m/yr</t>
        </is>
      </c>
      <c r="D56" s="16" t="n">
        <v>10</v>
      </c>
      <c r="E56" s="16" t="n">
        <v>8</v>
      </c>
      <c r="F56" s="16" t="n">
        <v>6</v>
      </c>
      <c r="G56" s="17">
        <f>CHOOSE($D$3,D56,E56,F56)</f>
        <v/>
      </c>
      <c r="H56" s="12" t="inlineStr">
        <is>
          <t>Analyst estimate</t>
        </is>
      </c>
      <c r="I56" s="13" t="inlineStr"/>
    </row>
    <row r="57">
      <c r="A57" s="8" t="inlineStr">
        <is>
          <t>OMF_F</t>
        </is>
      </c>
      <c r="B57" s="9" t="inlineStr">
        <is>
          <t>Operations management fee to Segen (fixed)</t>
        </is>
      </c>
      <c r="C57" s="8" t="inlineStr">
        <is>
          <t>AED m/yr</t>
        </is>
      </c>
      <c r="D57" s="16" t="n">
        <v>30</v>
      </c>
      <c r="E57" s="16" t="n">
        <v>25</v>
      </c>
      <c r="F57" s="16" t="n">
        <v>20</v>
      </c>
      <c r="G57" s="17">
        <f>CHOOSE($D$3,D57,E57,F57)</f>
        <v/>
      </c>
      <c r="H57" s="12" t="inlineStr">
        <is>
          <t>Analyst estimate - Segen commercial model</t>
        </is>
      </c>
      <c r="I57" s="13" t="inlineStr">
        <is>
          <t>SPV cost line; Segen revenue</t>
        </is>
      </c>
    </row>
    <row r="58">
      <c r="A58" s="8" t="inlineStr">
        <is>
          <t>OMF_S</t>
        </is>
      </c>
      <c r="B58" s="9" t="inlineStr">
        <is>
          <t>Material success fee to Segen (share of material sales)</t>
        </is>
      </c>
      <c r="C58" s="8" t="inlineStr">
        <is>
          <t>%</t>
        </is>
      </c>
      <c r="D58" s="18" t="n">
        <v>0.22</v>
      </c>
      <c r="E58" s="18" t="n">
        <v>0.2</v>
      </c>
      <c r="F58" s="18" t="n">
        <v>0.18</v>
      </c>
      <c r="G58" s="19">
        <f>CHOOSE($D$3,D58,E58,F58)</f>
        <v/>
      </c>
      <c r="H58" s="12" t="inlineStr">
        <is>
          <t>Analyst estimate - Segen commercial model</t>
        </is>
      </c>
      <c r="I58" s="13" t="inlineStr">
        <is>
          <t>Aligns Segen with material quality/value, not deposits</t>
        </is>
      </c>
    </row>
    <row r="59">
      <c r="A59" s="6" t="inlineStr">
        <is>
          <t>REVENUE - PRODUCER FEES &amp; MATERIAL PRICES</t>
        </is>
      </c>
      <c r="B59" s="7" t="n"/>
      <c r="C59" s="7" t="n"/>
      <c r="D59" s="7" t="n"/>
      <c r="E59" s="7" t="n"/>
      <c r="F59" s="7" t="n"/>
      <c r="G59" s="7" t="n"/>
      <c r="H59" s="7" t="n"/>
      <c r="I59" s="7" t="n"/>
    </row>
    <row r="60">
      <c r="A60" s="8" t="inlineStr">
        <is>
          <t>FEE_PET</t>
        </is>
      </c>
      <c r="B60" s="9" t="inlineStr">
        <is>
          <t>Producer fee - PET</t>
        </is>
      </c>
      <c r="C60" s="8" t="inlineStr">
        <is>
          <t>AED/container</t>
        </is>
      </c>
      <c r="D60" s="14" t="n">
        <v>0.2</v>
      </c>
      <c r="E60" s="14" t="n">
        <v>0.2</v>
      </c>
      <c r="F60" s="14" t="n">
        <v>0.2</v>
      </c>
      <c r="G60" s="15">
        <f>CHOOSE($D$3,D60,E60,F60)</f>
        <v/>
      </c>
      <c r="H60" s="12" t="inlineStr">
        <is>
          <t>Calibrated - see R7 memo</t>
        </is>
      </c>
      <c r="I60" s="13" t="inlineStr">
        <is>
          <t>Lithuania €0.044=AED 0.176 + unredeemed-deposit share replacement; EU range €0.01-0.05 (R4)</t>
        </is>
      </c>
    </row>
    <row r="61">
      <c r="A61" s="8" t="inlineStr">
        <is>
          <t>FEE_ALU</t>
        </is>
      </c>
      <c r="B61" s="9" t="inlineStr">
        <is>
          <t>Producer fee - aluminium</t>
        </is>
      </c>
      <c r="C61" s="8" t="inlineStr">
        <is>
          <t>AED/container</t>
        </is>
      </c>
      <c r="D61" s="14" t="n">
        <v>0.08</v>
      </c>
      <c r="E61" s="14" t="n">
        <v>0.08</v>
      </c>
      <c r="F61" s="14" t="n">
        <v>0.08</v>
      </c>
      <c r="G61" s="15">
        <f>CHOOSE($D$3,D61,E61,F61)</f>
        <v/>
      </c>
      <c r="H61" s="12" t="inlineStr">
        <is>
          <t>Calibrated - see R7 memo</t>
        </is>
      </c>
      <c r="I61" s="13" t="inlineStr">
        <is>
          <t>Ireland €0.0125, Lithuania €0.019 (AED 0.05-0.076); high UBC value keeps fee low</t>
        </is>
      </c>
    </row>
    <row r="62">
      <c r="A62" s="8" t="inlineStr">
        <is>
          <t>FEE_GL</t>
        </is>
      </c>
      <c r="B62" s="9" t="inlineStr">
        <is>
          <t>Producer fee - glass</t>
        </is>
      </c>
      <c r="C62" s="8" t="inlineStr">
        <is>
          <t>AED/container</t>
        </is>
      </c>
      <c r="D62" s="14" t="n">
        <v>0.24</v>
      </c>
      <c r="E62" s="14" t="n">
        <v>0.24</v>
      </c>
      <c r="F62" s="14" t="n">
        <v>0.24</v>
      </c>
      <c r="G62" s="15">
        <f>CHOOSE($D$3,D62,E62,F62)</f>
        <v/>
      </c>
      <c r="H62" s="12" t="inlineStr">
        <is>
          <t>Calibrated - see R7 memo</t>
        </is>
      </c>
      <c r="I62" s="13" t="inlineStr">
        <is>
          <t>Lithuania glass €0.055=AED 0.22; glass is a net-cost stream (R4)</t>
        </is>
      </c>
    </row>
    <row r="63">
      <c r="A63" s="8" t="inlineStr">
        <is>
          <t>FEEREV</t>
        </is>
      </c>
      <c r="B63" s="9" t="inlineStr">
        <is>
          <t>Fee-review factor applied from year 4</t>
        </is>
      </c>
      <c r="C63" s="8" t="inlineStr">
        <is>
          <t>x</t>
        </is>
      </c>
      <c r="D63" s="10" t="n">
        <v>1.2</v>
      </c>
      <c r="E63" s="10" t="n">
        <v>1</v>
      </c>
      <c r="F63" s="10" t="n">
        <v>0.85</v>
      </c>
      <c r="G63" s="11">
        <f>CHOOSE($D$3,D63,E63,F63)</f>
        <v/>
      </c>
      <c r="H63" s="12" t="inlineStr">
        <is>
          <t>Analyst estimate - fee-review mechanic</t>
        </is>
      </c>
      <c r="I63" s="13" t="inlineStr">
        <is>
          <t>Conservative: fees reset up to restore cost recovery; Optimistic: surplus returned via lower fees (non-profit principle)</t>
        </is>
      </c>
    </row>
    <row r="64">
      <c r="A64" s="8" t="inlineStr">
        <is>
          <t>P_RPET</t>
        </is>
      </c>
      <c r="B64" s="9" t="inlineStr">
        <is>
          <t>rPET clear flake price (DRS grade)</t>
        </is>
      </c>
      <c r="C64" s="8" t="inlineStr">
        <is>
          <t>USD/t</t>
        </is>
      </c>
      <c r="D64" s="16" t="n">
        <v>900</v>
      </c>
      <c r="E64" s="16" t="n">
        <v>1200</v>
      </c>
      <c r="F64" s="16" t="n">
        <v>1300</v>
      </c>
      <c r="G64" s="17">
        <f>CHOOSE($D$3,D64,E64,F64)</f>
        <v/>
      </c>
      <c r="H64" s="12" t="inlineStr">
        <is>
          <t>R4 - $1,100-2,100/t 2024-26 range; 2026 soft market</t>
        </is>
      </c>
      <c r="I64" s="13" t="inlineStr">
        <is>
          <t>DRS bales command 15-25% premium; conservative base amid weak 2026 demand</t>
        </is>
      </c>
    </row>
    <row r="65">
      <c r="A65" s="8" t="inlineStr">
        <is>
          <t>P_UBC</t>
        </is>
      </c>
      <c r="B65" s="9" t="inlineStr">
        <is>
          <t>Aluminium UBC price</t>
        </is>
      </c>
      <c r="C65" s="8" t="inlineStr">
        <is>
          <t>USD/t</t>
        </is>
      </c>
      <c r="D65" s="16" t="n">
        <v>1400</v>
      </c>
      <c r="E65" s="16" t="n">
        <v>1800</v>
      </c>
      <c r="F65" s="16" t="n">
        <v>1900</v>
      </c>
      <c r="G65" s="17">
        <f>CHOOSE($D$3,D65,E65,F65)</f>
        <v/>
      </c>
      <c r="H65" s="12" t="inlineStr">
        <is>
          <t>R4 - $1,200-2,050/t (2025-26)</t>
        </is>
      </c>
      <c r="I65" s="13" t="inlineStr">
        <is>
          <t>LME rally Q4-25→Jan-26 supports base</t>
        </is>
      </c>
    </row>
    <row r="66">
      <c r="A66" s="8" t="inlineStr">
        <is>
          <t>P_CUL</t>
        </is>
      </c>
      <c r="B66" s="9" t="inlineStr">
        <is>
          <t>Glass cullet price</t>
        </is>
      </c>
      <c r="C66" s="8" t="inlineStr">
        <is>
          <t>AED/t</t>
        </is>
      </c>
      <c r="D66" s="16" t="n">
        <v>330</v>
      </c>
      <c r="E66" s="16" t="n">
        <v>440</v>
      </c>
      <c r="F66" s="16" t="n">
        <v>520</v>
      </c>
      <c r="G66" s="17">
        <f>CHOOSE($D$3,D66,E66,F66)</f>
        <v/>
      </c>
      <c r="H66" s="12" t="inlineStr">
        <is>
          <t>R4 - EU cullet €100-150/t ×4.0</t>
        </is>
      </c>
      <c r="I66" s="13" t="inlineStr">
        <is>
          <t>Export/downcycle market; no UAE furnace offtake (R3)</t>
        </is>
      </c>
    </row>
    <row r="67">
      <c r="A67" s="8" t="inlineStr">
        <is>
          <t>WT_PET</t>
        </is>
      </c>
      <c r="B67" s="9" t="inlineStr">
        <is>
          <t>Average PET bottle weight</t>
        </is>
      </c>
      <c r="C67" s="8" t="inlineStr">
        <is>
          <t>g</t>
        </is>
      </c>
      <c r="D67" s="16" t="n">
        <v>22</v>
      </c>
      <c r="E67" s="16" t="n">
        <v>20</v>
      </c>
      <c r="F67" s="16" t="n">
        <v>18</v>
      </c>
      <c r="G67" s="17">
        <f>CHOOSE($D$3,D67,E67,F67)</f>
        <v/>
      </c>
      <c r="H67" s="12" t="inlineStr">
        <is>
          <t>R5 survey assumption 18-22 g</t>
        </is>
      </c>
      <c r="I67" s="13" t="inlineStr"/>
    </row>
    <row r="68">
      <c r="A68" s="8" t="inlineStr">
        <is>
          <t>WT_CAN</t>
        </is>
      </c>
      <c r="B68" s="9" t="inlineStr">
        <is>
          <t>Average can weight</t>
        </is>
      </c>
      <c r="C68" s="8" t="inlineStr">
        <is>
          <t>g</t>
        </is>
      </c>
      <c r="D68" s="20" t="n">
        <v>13.5</v>
      </c>
      <c r="E68" s="20" t="n">
        <v>13.5</v>
      </c>
      <c r="F68" s="20" t="n">
        <v>13.5</v>
      </c>
      <c r="G68" s="21">
        <f>CHOOSE($D$3,D68,E68,F68)</f>
        <v/>
      </c>
      <c r="H68" s="12" t="inlineStr">
        <is>
          <t>R5 survey assumption 13.5 g</t>
        </is>
      </c>
      <c r="I68" s="13" t="inlineStr"/>
    </row>
    <row r="69">
      <c r="A69" s="8" t="inlineStr">
        <is>
          <t>WT_GL</t>
        </is>
      </c>
      <c r="B69" s="9" t="inlineStr">
        <is>
          <t>Average glass bottle weight</t>
        </is>
      </c>
      <c r="C69" s="8" t="inlineStr">
        <is>
          <t>g</t>
        </is>
      </c>
      <c r="D69" s="16" t="n">
        <v>200</v>
      </c>
      <c r="E69" s="16" t="n">
        <v>200</v>
      </c>
      <c r="F69" s="16" t="n">
        <v>200</v>
      </c>
      <c r="G69" s="17">
        <f>CHOOSE($D$3,D69,E69,F69)</f>
        <v/>
      </c>
      <c r="H69" s="12" t="inlineStr">
        <is>
          <t>Analyst estimate</t>
        </is>
      </c>
      <c r="I69" s="13" t="inlineStr">
        <is>
          <t>Mixed premium water/juice bottles</t>
        </is>
      </c>
    </row>
    <row r="70">
      <c r="A70" s="6" t="inlineStr">
        <is>
          <t>FINANCING &amp; SEGEN COMMERCIAL STRUCTURE</t>
        </is>
      </c>
      <c r="B70" s="7" t="n"/>
      <c r="C70" s="7" t="n"/>
      <c r="D70" s="7" t="n"/>
      <c r="E70" s="7" t="n"/>
      <c r="F70" s="7" t="n"/>
      <c r="G70" s="7" t="n"/>
      <c r="H70" s="7" t="n"/>
      <c r="I70" s="7" t="n"/>
    </row>
    <row r="71">
      <c r="A71" s="8" t="inlineStr">
        <is>
          <t>DEBT</t>
        </is>
      </c>
      <c r="B71" s="9" t="inlineStr">
        <is>
          <t>SPV debt share of capex</t>
        </is>
      </c>
      <c r="C71" s="8" t="inlineStr">
        <is>
          <t>%</t>
        </is>
      </c>
      <c r="D71" s="18" t="n">
        <v>0.6</v>
      </c>
      <c r="E71" s="18" t="n">
        <v>0.6</v>
      </c>
      <c r="F71" s="18" t="n">
        <v>0.6</v>
      </c>
      <c r="G71" s="19">
        <f>CHOOSE($D$3,D71,E71,F71)</f>
        <v/>
      </c>
      <c r="H71" s="12" t="inlineStr">
        <is>
          <t>Analyst estimate</t>
        </is>
      </c>
      <c r="I71" s="13" t="inlineStr">
        <is>
          <t>Green-loan precedent: Romania RetuRO €85-90m ING loan (R4)</t>
        </is>
      </c>
    </row>
    <row r="72">
      <c r="A72" s="8" t="inlineStr">
        <is>
          <t>INT</t>
        </is>
      </c>
      <c r="B72" s="9" t="inlineStr">
        <is>
          <t>Debt interest rate</t>
        </is>
      </c>
      <c r="C72" s="8" t="inlineStr">
        <is>
          <t>%/yr</t>
        </is>
      </c>
      <c r="D72" s="18" t="n">
        <v>0.055</v>
      </c>
      <c r="E72" s="18" t="n">
        <v>0.055</v>
      </c>
      <c r="F72" s="18" t="n">
        <v>0.055</v>
      </c>
      <c r="G72" s="19">
        <f>CHOOSE($D$3,D72,E72,F72)</f>
        <v/>
      </c>
      <c r="H72" s="12" t="inlineStr">
        <is>
          <t>Analyst estimate</t>
        </is>
      </c>
      <c r="I72" s="13" t="inlineStr"/>
    </row>
    <row r="73">
      <c r="A73" s="8" t="inlineStr">
        <is>
          <t>SEQ</t>
        </is>
      </c>
      <c r="B73" s="9" t="inlineStr">
        <is>
          <t>Segen share of SPV equity</t>
        </is>
      </c>
      <c r="C73" s="8" t="inlineStr">
        <is>
          <t>%</t>
        </is>
      </c>
      <c r="D73" s="18" t="n">
        <v>0.51</v>
      </c>
      <c r="E73" s="18" t="n">
        <v>0.51</v>
      </c>
      <c r="F73" s="18" t="n">
        <v>0.51</v>
      </c>
      <c r="G73" s="19">
        <f>CHOOSE($D$3,D73,E73,F73)</f>
        <v/>
      </c>
      <c r="H73" s="12" t="inlineStr">
        <is>
          <t>Analyst estimate - Segen commercial model</t>
        </is>
      </c>
      <c r="I73" s="13" t="inlineStr">
        <is>
          <t>Balance: producers/retailers/state-linked investors</t>
        </is>
      </c>
    </row>
    <row r="74">
      <c r="A74" s="8" t="inlineStr">
        <is>
          <t>PAYOUT</t>
        </is>
      </c>
      <c r="B74" s="9" t="inlineStr">
        <is>
          <t>SPV dividend payout ratio</t>
        </is>
      </c>
      <c r="C74" s="8" t="inlineStr">
        <is>
          <t>%</t>
        </is>
      </c>
      <c r="D74" s="18" t="n">
        <v>0.6</v>
      </c>
      <c r="E74" s="18" t="n">
        <v>0.6</v>
      </c>
      <c r="F74" s="18" t="n">
        <v>0.6</v>
      </c>
      <c r="G74" s="19">
        <f>CHOOSE($D$3,D74,E74,F74)</f>
        <v/>
      </c>
      <c r="H74" s="12" t="inlineStr">
        <is>
          <t>Analyst estimate</t>
        </is>
      </c>
      <c r="I74" s="13" t="inlineStr">
        <is>
          <t>Balance retained as contingency reserve</t>
        </is>
      </c>
    </row>
    <row r="75">
      <c r="A75" s="8" t="inlineStr">
        <is>
          <t>SDELIV</t>
        </is>
      </c>
      <c r="B75" s="9" t="inlineStr">
        <is>
          <t>Segen delivery cost (share of fee income)</t>
        </is>
      </c>
      <c r="C75" s="8" t="inlineStr">
        <is>
          <t>%</t>
        </is>
      </c>
      <c r="D75" s="18" t="n">
        <v>0.5</v>
      </c>
      <c r="E75" s="18" t="n">
        <v>0.5</v>
      </c>
      <c r="F75" s="18" t="n">
        <v>0.5</v>
      </c>
      <c r="G75" s="19">
        <f>CHOOSE($D$3,D75,E75,F75)</f>
        <v/>
      </c>
      <c r="H75" s="12" t="inlineStr">
        <is>
          <t>Analyst estimate</t>
        </is>
      </c>
      <c r="I75" s="13" t="inlineStr">
        <is>
          <t>Segen operations organisation cost</t>
        </is>
      </c>
    </row>
    <row r="76">
      <c r="A76" s="8" t="inlineStr">
        <is>
          <t>SPREOP</t>
        </is>
      </c>
      <c r="B76" s="9" t="inlineStr">
        <is>
          <t>Segen pre-operating costs 2026</t>
        </is>
      </c>
      <c r="C76" s="8" t="inlineStr">
        <is>
          <t>AED m</t>
        </is>
      </c>
      <c r="D76" s="16" t="n">
        <v>15</v>
      </c>
      <c r="E76" s="16" t="n">
        <v>15</v>
      </c>
      <c r="F76" s="16" t="n">
        <v>15</v>
      </c>
      <c r="G76" s="17">
        <f>CHOOSE($D$3,D76,E76,F76)</f>
        <v/>
      </c>
      <c r="H76" s="12" t="inlineStr">
        <is>
          <t>Analyst estimate</t>
        </is>
      </c>
      <c r="I76" s="13" t="inlineStr">
        <is>
          <t>Bid, design, government relations, Earth Care engagement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2"/>
  <sheetViews>
    <sheetView showGridLines="0"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4" customWidth="1" min="1" max="1"/>
    <col width="8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</cols>
  <sheetData>
    <row r="1">
      <c r="A1" s="1" t="inlineStr">
        <is>
          <t>Market Sizing - Containers Placed on Market &amp; Returned (2028-2037)</t>
        </is>
      </c>
    </row>
    <row r="2">
      <c r="A2" s="2" t="inlineStr">
        <is>
          <t>Volumes in billion units; tonnage in tonnes. Launch year 2028 = year 1. Sources: R5 survey (PET), EGA (cans), analyst estimate (glass).</t>
        </is>
      </c>
    </row>
    <row r="3"/>
    <row r="4"/>
    <row r="5">
      <c r="A5" s="5" t="inlineStr">
        <is>
          <t>Line</t>
        </is>
      </c>
      <c r="B5" s="5" t="inlineStr">
        <is>
          <t>Unit</t>
        </is>
      </c>
      <c r="C5" s="5" t="n">
        <v>2028</v>
      </c>
      <c r="D5" s="5" t="n">
        <v>2029</v>
      </c>
      <c r="E5" s="5" t="n">
        <v>2030</v>
      </c>
      <c r="F5" s="5" t="n">
        <v>2031</v>
      </c>
      <c r="G5" s="5" t="n">
        <v>2032</v>
      </c>
      <c r="H5" s="5" t="n">
        <v>2033</v>
      </c>
      <c r="I5" s="5" t="n">
        <v>2034</v>
      </c>
      <c r="J5" s="5" t="n">
        <v>2035</v>
      </c>
      <c r="K5" s="5" t="n">
        <v>2036</v>
      </c>
      <c r="L5" s="5" t="n">
        <v>2037</v>
      </c>
    </row>
    <row r="6">
      <c r="A6" s="9" t="inlineStr">
        <is>
          <t>Year index</t>
        </is>
      </c>
      <c r="B6" s="8" t="inlineStr">
        <is>
          <t>#</t>
        </is>
      </c>
      <c r="C6" s="16" t="n">
        <v>0</v>
      </c>
      <c r="D6" s="16" t="n">
        <v>1</v>
      </c>
      <c r="E6" s="16" t="n">
        <v>2</v>
      </c>
      <c r="F6" s="16" t="n">
        <v>3</v>
      </c>
      <c r="G6" s="16" t="n">
        <v>4</v>
      </c>
      <c r="H6" s="16" t="n">
        <v>5</v>
      </c>
      <c r="I6" s="16" t="n">
        <v>6</v>
      </c>
      <c r="J6" s="16" t="n">
        <v>7</v>
      </c>
      <c r="K6" s="16" t="n">
        <v>8</v>
      </c>
      <c r="L6" s="16" t="n">
        <v>9</v>
      </c>
    </row>
    <row r="7">
      <c r="A7" s="9" t="inlineStr">
        <is>
          <t>Growth factor</t>
        </is>
      </c>
      <c r="B7" s="8" t="inlineStr">
        <is>
          <t>x</t>
        </is>
      </c>
      <c r="C7" s="22">
        <f>(1+Assumptions!$G$18)^C6</f>
        <v/>
      </c>
      <c r="D7" s="22">
        <f>(1+Assumptions!$G$18)^D6</f>
        <v/>
      </c>
      <c r="E7" s="22">
        <f>(1+Assumptions!$G$18)^E6</f>
        <v/>
      </c>
      <c r="F7" s="22">
        <f>(1+Assumptions!$G$18)^F6</f>
        <v/>
      </c>
      <c r="G7" s="22">
        <f>(1+Assumptions!$G$18)^G6</f>
        <v/>
      </c>
      <c r="H7" s="22">
        <f>(1+Assumptions!$G$18)^H6</f>
        <v/>
      </c>
      <c r="I7" s="22">
        <f>(1+Assumptions!$G$18)^I6</f>
        <v/>
      </c>
      <c r="J7" s="22">
        <f>(1+Assumptions!$G$18)^J6</f>
        <v/>
      </c>
      <c r="K7" s="22">
        <f>(1+Assumptions!$G$18)^K6</f>
        <v/>
      </c>
      <c r="L7" s="22">
        <f>(1+Assumptions!$G$18)^L6</f>
        <v/>
      </c>
    </row>
    <row r="8">
      <c r="A8" s="9" t="inlineStr">
        <is>
          <t>Escalation factor</t>
        </is>
      </c>
      <c r="B8" s="8" t="inlineStr">
        <is>
          <t>x</t>
        </is>
      </c>
      <c r="C8" s="22">
        <f>(1+Assumptions!$G$11)^C6</f>
        <v/>
      </c>
      <c r="D8" s="22">
        <f>(1+Assumptions!$G$11)^D6</f>
        <v/>
      </c>
      <c r="E8" s="22">
        <f>(1+Assumptions!$G$11)^E6</f>
        <v/>
      </c>
      <c r="F8" s="22">
        <f>(1+Assumptions!$G$11)^F6</f>
        <v/>
      </c>
      <c r="G8" s="22">
        <f>(1+Assumptions!$G$11)^G6</f>
        <v/>
      </c>
      <c r="H8" s="22">
        <f>(1+Assumptions!$G$11)^H6</f>
        <v/>
      </c>
      <c r="I8" s="22">
        <f>(1+Assumptions!$G$11)^I6</f>
        <v/>
      </c>
      <c r="J8" s="22">
        <f>(1+Assumptions!$G$11)^J6</f>
        <v/>
      </c>
      <c r="K8" s="22">
        <f>(1+Assumptions!$G$11)^K6</f>
        <v/>
      </c>
      <c r="L8" s="22">
        <f>(1+Assumptions!$G$11)^L6</f>
        <v/>
      </c>
    </row>
    <row r="9"/>
    <row r="10">
      <c r="A10" s="6" t="inlineStr">
        <is>
          <t>CONTAINERS PLACED ON MARKET (POM)</t>
        </is>
      </c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</row>
    <row r="11">
      <c r="A11" s="9" t="inlineStr">
        <is>
          <t>POM - PET</t>
        </is>
      </c>
      <c r="B11" s="8" t="inlineStr">
        <is>
          <t>bn</t>
        </is>
      </c>
      <c r="C11" s="22">
        <f>Assumptions!$G$15*C7</f>
        <v/>
      </c>
      <c r="D11" s="22">
        <f>Assumptions!$G$15*D7</f>
        <v/>
      </c>
      <c r="E11" s="22">
        <f>Assumptions!$G$15*E7</f>
        <v/>
      </c>
      <c r="F11" s="22">
        <f>Assumptions!$G$15*F7</f>
        <v/>
      </c>
      <c r="G11" s="22">
        <f>Assumptions!$G$15*G7</f>
        <v/>
      </c>
      <c r="H11" s="22">
        <f>Assumptions!$G$15*H7</f>
        <v/>
      </c>
      <c r="I11" s="22">
        <f>Assumptions!$G$15*I7</f>
        <v/>
      </c>
      <c r="J11" s="22">
        <f>Assumptions!$G$15*J7</f>
        <v/>
      </c>
      <c r="K11" s="22">
        <f>Assumptions!$G$15*K7</f>
        <v/>
      </c>
      <c r="L11" s="22">
        <f>Assumptions!$G$15*L7</f>
        <v/>
      </c>
    </row>
    <row r="12">
      <c r="A12" s="9" t="inlineStr">
        <is>
          <t>POM - Aluminium cans</t>
        </is>
      </c>
      <c r="B12" s="8" t="inlineStr">
        <is>
          <t>bn</t>
        </is>
      </c>
      <c r="C12" s="22">
        <f>Assumptions!$G$16*C7</f>
        <v/>
      </c>
      <c r="D12" s="22">
        <f>Assumptions!$G$16*D7</f>
        <v/>
      </c>
      <c r="E12" s="22">
        <f>Assumptions!$G$16*E7</f>
        <v/>
      </c>
      <c r="F12" s="22">
        <f>Assumptions!$G$16*F7</f>
        <v/>
      </c>
      <c r="G12" s="22">
        <f>Assumptions!$G$16*G7</f>
        <v/>
      </c>
      <c r="H12" s="22">
        <f>Assumptions!$G$16*H7</f>
        <v/>
      </c>
      <c r="I12" s="22">
        <f>Assumptions!$G$16*I7</f>
        <v/>
      </c>
      <c r="J12" s="22">
        <f>Assumptions!$G$16*J7</f>
        <v/>
      </c>
      <c r="K12" s="22">
        <f>Assumptions!$G$16*K7</f>
        <v/>
      </c>
      <c r="L12" s="22">
        <f>Assumptions!$G$16*L7</f>
        <v/>
      </c>
    </row>
    <row r="13">
      <c r="A13" s="9" t="inlineStr">
        <is>
          <t>POM - Glass</t>
        </is>
      </c>
      <c r="B13" s="8" t="inlineStr">
        <is>
          <t>bn</t>
        </is>
      </c>
      <c r="C13" s="22">
        <f>Assumptions!$G$17*C7</f>
        <v/>
      </c>
      <c r="D13" s="22">
        <f>Assumptions!$G$17*D7</f>
        <v/>
      </c>
      <c r="E13" s="22">
        <f>Assumptions!$G$17*E7</f>
        <v/>
      </c>
      <c r="F13" s="22">
        <f>Assumptions!$G$17*F7</f>
        <v/>
      </c>
      <c r="G13" s="22">
        <f>Assumptions!$G$17*G7</f>
        <v/>
      </c>
      <c r="H13" s="22">
        <f>Assumptions!$G$17*H7</f>
        <v/>
      </c>
      <c r="I13" s="22">
        <f>Assumptions!$G$17*I7</f>
        <v/>
      </c>
      <c r="J13" s="22">
        <f>Assumptions!$G$17*J7</f>
        <v/>
      </c>
      <c r="K13" s="22">
        <f>Assumptions!$G$17*K7</f>
        <v/>
      </c>
      <c r="L13" s="22">
        <f>Assumptions!$G$17*L7</f>
        <v/>
      </c>
    </row>
    <row r="14">
      <c r="A14" s="3" t="inlineStr">
        <is>
          <t>POM - TOTAL</t>
        </is>
      </c>
      <c r="B14" s="8" t="inlineStr">
        <is>
          <t>bn</t>
        </is>
      </c>
      <c r="C14" s="11">
        <f>C11+C12+C13</f>
        <v/>
      </c>
      <c r="D14" s="11">
        <f>D11+D12+D13</f>
        <v/>
      </c>
      <c r="E14" s="11">
        <f>E11+E12+E13</f>
        <v/>
      </c>
      <c r="F14" s="11">
        <f>F11+F12+F13</f>
        <v/>
      </c>
      <c r="G14" s="11">
        <f>G11+G12+G13</f>
        <v/>
      </c>
      <c r="H14" s="11">
        <f>H11+H12+H13</f>
        <v/>
      </c>
      <c r="I14" s="11">
        <f>I11+I12+I13</f>
        <v/>
      </c>
      <c r="J14" s="11">
        <f>J11+J12+J13</f>
        <v/>
      </c>
      <c r="K14" s="11">
        <f>K11+K12+K13</f>
        <v/>
      </c>
      <c r="L14" s="11">
        <f>L11+L12+L13</f>
        <v/>
      </c>
    </row>
    <row r="15"/>
    <row r="16">
      <c r="A16" s="6" t="inlineStr">
        <is>
          <t>RETURN RATE &amp; RETURNED VOLUMES</t>
        </is>
      </c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</row>
    <row r="17">
      <c r="A17" s="3" t="inlineStr">
        <is>
          <t>Return rate (share of POM)</t>
        </is>
      </c>
      <c r="B17" s="8" t="inlineStr">
        <is>
          <t>%</t>
        </is>
      </c>
      <c r="C17" s="19">
        <f>Assumptions!$G$20</f>
        <v/>
      </c>
      <c r="D17" s="19">
        <f>Assumptions!$G$21</f>
        <v/>
      </c>
      <c r="E17" s="19">
        <f>Assumptions!$G$22</f>
        <v/>
      </c>
      <c r="F17" s="19">
        <f>Assumptions!$G$23</f>
        <v/>
      </c>
      <c r="G17" s="19">
        <f>Assumptions!$G$24</f>
        <v/>
      </c>
      <c r="H17" s="19">
        <f>Assumptions!$G$25</f>
        <v/>
      </c>
      <c r="I17" s="19">
        <f>Assumptions!$G$26</f>
        <v/>
      </c>
      <c r="J17" s="19">
        <f>Assumptions!$G$27</f>
        <v/>
      </c>
      <c r="K17" s="19">
        <f>Assumptions!$G$28</f>
        <v/>
      </c>
      <c r="L17" s="19">
        <f>Assumptions!$G$29</f>
        <v/>
      </c>
    </row>
    <row r="18">
      <c r="A18" s="9" t="inlineStr">
        <is>
          <t>Returned - PET</t>
        </is>
      </c>
      <c r="B18" s="8" t="inlineStr">
        <is>
          <t>bn</t>
        </is>
      </c>
      <c r="C18" s="22">
        <f>C11*C17</f>
        <v/>
      </c>
      <c r="D18" s="22">
        <f>D11*D17</f>
        <v/>
      </c>
      <c r="E18" s="22">
        <f>E11*E17</f>
        <v/>
      </c>
      <c r="F18" s="22">
        <f>F11*F17</f>
        <v/>
      </c>
      <c r="G18" s="22">
        <f>G11*G17</f>
        <v/>
      </c>
      <c r="H18" s="22">
        <f>H11*H17</f>
        <v/>
      </c>
      <c r="I18" s="22">
        <f>I11*I17</f>
        <v/>
      </c>
      <c r="J18" s="22">
        <f>J11*J17</f>
        <v/>
      </c>
      <c r="K18" s="22">
        <f>K11*K17</f>
        <v/>
      </c>
      <c r="L18" s="22">
        <f>L11*L17</f>
        <v/>
      </c>
    </row>
    <row r="19">
      <c r="A19" s="9" t="inlineStr">
        <is>
          <t>Returned - Aluminium</t>
        </is>
      </c>
      <c r="B19" s="8" t="inlineStr">
        <is>
          <t>bn</t>
        </is>
      </c>
      <c r="C19" s="22">
        <f>C12*C17</f>
        <v/>
      </c>
      <c r="D19" s="22">
        <f>D12*D17</f>
        <v/>
      </c>
      <c r="E19" s="22">
        <f>E12*E17</f>
        <v/>
      </c>
      <c r="F19" s="22">
        <f>F12*F17</f>
        <v/>
      </c>
      <c r="G19" s="22">
        <f>G12*G17</f>
        <v/>
      </c>
      <c r="H19" s="22">
        <f>H12*H17</f>
        <v/>
      </c>
      <c r="I19" s="22">
        <f>I12*I17</f>
        <v/>
      </c>
      <c r="J19" s="22">
        <f>J12*J17</f>
        <v/>
      </c>
      <c r="K19" s="22">
        <f>K12*K17</f>
        <v/>
      </c>
      <c r="L19" s="22">
        <f>L12*L17</f>
        <v/>
      </c>
    </row>
    <row r="20">
      <c r="A20" s="9" t="inlineStr">
        <is>
          <t>Returned - Glass</t>
        </is>
      </c>
      <c r="B20" s="8" t="inlineStr">
        <is>
          <t>bn</t>
        </is>
      </c>
      <c r="C20" s="22">
        <f>C13*C17</f>
        <v/>
      </c>
      <c r="D20" s="22">
        <f>D13*D17</f>
        <v/>
      </c>
      <c r="E20" s="22">
        <f>E13*E17</f>
        <v/>
      </c>
      <c r="F20" s="22">
        <f>F13*F17</f>
        <v/>
      </c>
      <c r="G20" s="22">
        <f>G13*G17</f>
        <v/>
      </c>
      <c r="H20" s="22">
        <f>H13*H17</f>
        <v/>
      </c>
      <c r="I20" s="22">
        <f>I13*I17</f>
        <v/>
      </c>
      <c r="J20" s="22">
        <f>J13*J17</f>
        <v/>
      </c>
      <c r="K20" s="22">
        <f>K13*K17</f>
        <v/>
      </c>
      <c r="L20" s="22">
        <f>L13*L17</f>
        <v/>
      </c>
    </row>
    <row r="21">
      <c r="A21" s="3" t="inlineStr">
        <is>
          <t>Returned - TOTAL</t>
        </is>
      </c>
      <c r="B21" s="8" t="inlineStr">
        <is>
          <t>bn</t>
        </is>
      </c>
      <c r="C21" s="11">
        <f>C18+C19+C20</f>
        <v/>
      </c>
      <c r="D21" s="11">
        <f>D18+D19+D20</f>
        <v/>
      </c>
      <c r="E21" s="11">
        <f>E18+E19+E20</f>
        <v/>
      </c>
      <c r="F21" s="11">
        <f>F18+F19+F20</f>
        <v/>
      </c>
      <c r="G21" s="11">
        <f>G18+G19+G20</f>
        <v/>
      </c>
      <c r="H21" s="11">
        <f>H18+H19+H20</f>
        <v/>
      </c>
      <c r="I21" s="11">
        <f>I18+I19+I20</f>
        <v/>
      </c>
      <c r="J21" s="11">
        <f>J18+J19+J20</f>
        <v/>
      </c>
      <c r="K21" s="11">
        <f>K18+K19+K20</f>
        <v/>
      </c>
      <c r="L21" s="11">
        <f>L18+L19+L20</f>
        <v/>
      </c>
    </row>
    <row r="22"/>
    <row r="23">
      <c r="A23" s="6" t="inlineStr">
        <is>
          <t>RECOVERED TONNAGE (returned units x unit weight)</t>
        </is>
      </c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</row>
    <row r="24">
      <c r="A24" s="9" t="inlineStr">
        <is>
          <t>PET tonnage</t>
        </is>
      </c>
      <c r="B24" s="8" t="inlineStr">
        <is>
          <t>t</t>
        </is>
      </c>
      <c r="C24" s="23">
        <f>C18*Assumptions!$G$67*1000</f>
        <v/>
      </c>
      <c r="D24" s="23">
        <f>D18*Assumptions!$G$67*1000</f>
        <v/>
      </c>
      <c r="E24" s="23">
        <f>E18*Assumptions!$G$67*1000</f>
        <v/>
      </c>
      <c r="F24" s="23">
        <f>F18*Assumptions!$G$67*1000</f>
        <v/>
      </c>
      <c r="G24" s="23">
        <f>G18*Assumptions!$G$67*1000</f>
        <v/>
      </c>
      <c r="H24" s="23">
        <f>H18*Assumptions!$G$67*1000</f>
        <v/>
      </c>
      <c r="I24" s="23">
        <f>I18*Assumptions!$G$67*1000</f>
        <v/>
      </c>
      <c r="J24" s="23">
        <f>J18*Assumptions!$G$67*1000</f>
        <v/>
      </c>
      <c r="K24" s="23">
        <f>K18*Assumptions!$G$67*1000</f>
        <v/>
      </c>
      <c r="L24" s="23">
        <f>L18*Assumptions!$G$67*1000</f>
        <v/>
      </c>
    </row>
    <row r="25">
      <c r="A25" s="9" t="inlineStr">
        <is>
          <t>Aluminium tonnage</t>
        </is>
      </c>
      <c r="B25" s="8" t="inlineStr">
        <is>
          <t>t</t>
        </is>
      </c>
      <c r="C25" s="23">
        <f>C19*Assumptions!$G$68*1000</f>
        <v/>
      </c>
      <c r="D25" s="23">
        <f>D19*Assumptions!$G$68*1000</f>
        <v/>
      </c>
      <c r="E25" s="23">
        <f>E19*Assumptions!$G$68*1000</f>
        <v/>
      </c>
      <c r="F25" s="23">
        <f>F19*Assumptions!$G$68*1000</f>
        <v/>
      </c>
      <c r="G25" s="23">
        <f>G19*Assumptions!$G$68*1000</f>
        <v/>
      </c>
      <c r="H25" s="23">
        <f>H19*Assumptions!$G$68*1000</f>
        <v/>
      </c>
      <c r="I25" s="23">
        <f>I19*Assumptions!$G$68*1000</f>
        <v/>
      </c>
      <c r="J25" s="23">
        <f>J19*Assumptions!$G$68*1000</f>
        <v/>
      </c>
      <c r="K25" s="23">
        <f>K19*Assumptions!$G$68*1000</f>
        <v/>
      </c>
      <c r="L25" s="23">
        <f>L19*Assumptions!$G$68*1000</f>
        <v/>
      </c>
    </row>
    <row r="26">
      <c r="A26" s="9" t="inlineStr">
        <is>
          <t>Glass tonnage</t>
        </is>
      </c>
      <c r="B26" s="8" t="inlineStr">
        <is>
          <t>t</t>
        </is>
      </c>
      <c r="C26" s="23">
        <f>C20*Assumptions!$G$69*1000</f>
        <v/>
      </c>
      <c r="D26" s="23">
        <f>D20*Assumptions!$G$69*1000</f>
        <v/>
      </c>
      <c r="E26" s="23">
        <f>E20*Assumptions!$G$69*1000</f>
        <v/>
      </c>
      <c r="F26" s="23">
        <f>F20*Assumptions!$G$69*1000</f>
        <v/>
      </c>
      <c r="G26" s="23">
        <f>G20*Assumptions!$G$69*1000</f>
        <v/>
      </c>
      <c r="H26" s="23">
        <f>H20*Assumptions!$G$69*1000</f>
        <v/>
      </c>
      <c r="I26" s="23">
        <f>I20*Assumptions!$G$69*1000</f>
        <v/>
      </c>
      <c r="J26" s="23">
        <f>J20*Assumptions!$G$69*1000</f>
        <v/>
      </c>
      <c r="K26" s="23">
        <f>K20*Assumptions!$G$69*1000</f>
        <v/>
      </c>
      <c r="L26" s="23">
        <f>L20*Assumptions!$G$69*1000</f>
        <v/>
      </c>
    </row>
    <row r="27">
      <c r="A27" s="3" t="inlineStr">
        <is>
          <t>Total tonnage</t>
        </is>
      </c>
      <c r="B27" s="8" t="inlineStr">
        <is>
          <t>t</t>
        </is>
      </c>
      <c r="C27" s="17">
        <f>C24+C25+C26</f>
        <v/>
      </c>
      <c r="D27" s="17">
        <f>D24+D25+D26</f>
        <v/>
      </c>
      <c r="E27" s="17">
        <f>E24+E25+E26</f>
        <v/>
      </c>
      <c r="F27" s="17">
        <f>F24+F25+F26</f>
        <v/>
      </c>
      <c r="G27" s="17">
        <f>G24+G25+G26</f>
        <v/>
      </c>
      <c r="H27" s="17">
        <f>H24+H25+H26</f>
        <v/>
      </c>
      <c r="I27" s="17">
        <f>I24+I25+I26</f>
        <v/>
      </c>
      <c r="J27" s="17">
        <f>J24+J25+J26</f>
        <v/>
      </c>
      <c r="K27" s="17">
        <f>K24+K25+K26</f>
        <v/>
      </c>
      <c r="L27" s="17">
        <f>L24+L25+L26</f>
        <v/>
      </c>
    </row>
    <row r="28"/>
    <row r="29">
      <c r="A29" s="6" t="inlineStr">
        <is>
          <t>NETWORK MEMO</t>
        </is>
      </c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  <c r="K29" s="7" t="n"/>
      <c r="L29" s="7" t="n"/>
    </row>
    <row r="30">
      <c r="A30" s="9" t="inlineStr">
        <is>
          <t>Return points (population / density target)</t>
        </is>
      </c>
      <c r="B30" s="8" t="inlineStr">
        <is>
          <t>points</t>
        </is>
      </c>
      <c r="C30" s="23">
        <f>Assumptions!$G$9*1000000/Assumptions!$G$10</f>
        <v/>
      </c>
    </row>
    <row r="31">
      <c r="A31" s="9" t="inlineStr">
        <is>
          <t>Containers per RVM per day (avg, on returned volume)</t>
        </is>
      </c>
      <c r="B31" s="8" t="inlineStr">
        <is>
          <t>units</t>
        </is>
      </c>
      <c r="C31" s="23">
        <f>C21*1000000000/365/CAPEX!E31</f>
        <v/>
      </c>
      <c r="D31" s="23">
        <f>D21*1000000000/365/CAPEX!F31</f>
        <v/>
      </c>
      <c r="E31" s="23">
        <f>E21*1000000000/365/CAPEX!G31</f>
        <v/>
      </c>
      <c r="F31" s="23">
        <f>F21*1000000000/365/CAPEX!H31</f>
        <v/>
      </c>
      <c r="G31" s="23">
        <f>G21*1000000000/365/CAPEX!I31</f>
        <v/>
      </c>
      <c r="H31" s="23">
        <f>H21*1000000000/365/CAPEX!J31</f>
        <v/>
      </c>
      <c r="I31" s="23">
        <f>I21*1000000000/365/CAPEX!K31</f>
        <v/>
      </c>
      <c r="J31" s="23">
        <f>J21*1000000000/365/CAPEX!L31</f>
        <v/>
      </c>
      <c r="K31" s="23">
        <f>K21*1000000000/365/CAPEX!M31</f>
        <v/>
      </c>
      <c r="L31" s="23">
        <f>L21*1000000000/365/CAPEX!N31</f>
        <v/>
      </c>
    </row>
    <row r="32">
      <c r="A32" s="24" t="inlineStr">
        <is>
          <t>Memo: Sparklo single-machine record &gt;13,000/day; Tadweer peak 8,500/day (R2/R3) - network capacity is ample.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31"/>
  <sheetViews>
    <sheetView showGridLines="0"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0" customWidth="1" min="1" max="1"/>
    <col width="8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52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>
      <c r="A1" s="1" t="inlineStr">
        <is>
          <t>CAPEX - Phased Build-Out (2026-2029) &amp; Depreciation</t>
        </is>
      </c>
    </row>
    <row r="2">
      <c r="A2" s="2" t="inlineStr">
        <is>
          <t>AED millions. RVM fleet sized from MDPI UAE study (3,500+ machines) and Hungary density; centres from Romania benchmark (~€8-9m each).</t>
        </is>
      </c>
    </row>
    <row r="3"/>
    <row r="4"/>
    <row r="5">
      <c r="A5" s="5" t="inlineStr">
        <is>
          <t>Item</t>
        </is>
      </c>
      <c r="B5" s="5" t="inlineStr">
        <is>
          <t>Unit</t>
        </is>
      </c>
      <c r="C5" s="5" t="n">
        <v>2026</v>
      </c>
      <c r="D5" s="5" t="n">
        <v>2027</v>
      </c>
      <c r="E5" s="5" t="n">
        <v>2028</v>
      </c>
      <c r="F5" s="5" t="n">
        <v>2029</v>
      </c>
      <c r="G5" s="5" t="inlineStr">
        <is>
          <t>Total</t>
        </is>
      </c>
      <c r="H5" s="5" t="inlineStr">
        <is>
          <t>Source / note</t>
        </is>
      </c>
    </row>
    <row r="6"/>
    <row r="7">
      <c r="A7" s="9" t="inlineStr">
        <is>
          <t>RVMs installed</t>
        </is>
      </c>
      <c r="B7" s="8" t="inlineStr">
        <is>
          <t>units</t>
        </is>
      </c>
      <c r="C7" s="16" t="n">
        <v>0</v>
      </c>
      <c r="D7" s="23">
        <f>Assumptions!$G$44*Assumptions!$G$31</f>
        <v/>
      </c>
      <c r="E7" s="23">
        <f>Assumptions!$G$45*Assumptions!$G$31</f>
        <v/>
      </c>
      <c r="F7" s="23">
        <f>Assumptions!$G$46*Assumptions!$G$31</f>
        <v/>
      </c>
      <c r="G7" s="17">
        <f>SUM(C7:F7)</f>
        <v/>
      </c>
      <c r="H7" s="12" t="inlineStr">
        <is>
          <t>Phasing per Assumptions (34/43/23%)</t>
        </is>
      </c>
    </row>
    <row r="8">
      <c r="A8" s="9" t="inlineStr">
        <is>
          <t>RVM fleet capex</t>
        </is>
      </c>
      <c r="B8" s="8" t="inlineStr">
        <is>
          <t>AED m</t>
        </is>
      </c>
      <c r="C8" s="23">
        <f>C7*Assumptions!$G$32/1000000</f>
        <v/>
      </c>
      <c r="D8" s="23">
        <f>D7*Assumptions!$G$32/1000000</f>
        <v/>
      </c>
      <c r="E8" s="23">
        <f>E7*Assumptions!$G$32/1000000</f>
        <v/>
      </c>
      <c r="F8" s="23">
        <f>F7*Assumptions!$G$32/1000000</f>
        <v/>
      </c>
      <c r="G8" s="17">
        <f>SUM(C8:F8)</f>
        <v/>
      </c>
      <c r="H8" s="12" t="inlineStr">
        <is>
          <t>R4: $10-25k standard; Ireland €15-30k; MDPI ~AED 150k installed</t>
        </is>
      </c>
    </row>
    <row r="9">
      <c r="A9" s="9" t="inlineStr">
        <is>
          <t>Counting/sorting centres built</t>
        </is>
      </c>
      <c r="B9" s="8" t="inlineStr">
        <is>
          <t>units</t>
        </is>
      </c>
      <c r="C9" s="16" t="n">
        <v>0</v>
      </c>
      <c r="D9" s="16" t="n">
        <v>1</v>
      </c>
      <c r="E9" s="16" t="n">
        <v>2</v>
      </c>
      <c r="F9" s="16" t="n">
        <v>0</v>
      </c>
      <c r="G9" s="17">
        <f>SUM(C9:F9)</f>
        <v/>
      </c>
      <c r="H9" s="12" t="inlineStr">
        <is>
          <t>Romania: 7 centres for ~7bn pkg/yr → 3 for ~3.5-4bn (R4)</t>
        </is>
      </c>
    </row>
    <row r="10">
      <c r="A10" s="9" t="inlineStr">
        <is>
          <t>Centres capex</t>
        </is>
      </c>
      <c r="B10" s="8" t="inlineStr">
        <is>
          <t>AED m</t>
        </is>
      </c>
      <c r="C10" s="23">
        <f>C9*0</f>
        <v/>
      </c>
      <c r="D10" s="23">
        <f>D9*Assumptions!$G$35</f>
        <v/>
      </c>
      <c r="E10" s="23">
        <f>E9*Assumptions!$G$35</f>
        <v/>
      </c>
      <c r="F10" s="23">
        <f>F9*0</f>
        <v/>
      </c>
      <c r="G10" s="17">
        <f>SUM(C10:F10)</f>
        <v/>
      </c>
      <c r="H10" s="12" t="inlineStr">
        <is>
          <t>~€8-9m/centre × 4.0 AED/EUR (R4)</t>
        </is>
      </c>
    </row>
    <row r="11">
      <c r="A11" s="9" t="inlineStr">
        <is>
          <t>Central IT platform</t>
        </is>
      </c>
      <c r="B11" s="8" t="inlineStr">
        <is>
          <t>AED m</t>
        </is>
      </c>
      <c r="C11" s="23">
        <f>0.5*Assumptions!$G$37</f>
        <v/>
      </c>
      <c r="D11" s="23">
        <f>0.5*Assumptions!$G$37</f>
        <v/>
      </c>
      <c r="E11" s="16" t="n">
        <v>0</v>
      </c>
      <c r="F11" s="16" t="n">
        <v>0</v>
      </c>
      <c r="G11" s="17">
        <f>SUM(C11:F11)</f>
        <v/>
      </c>
      <c r="H11" s="12" t="inlineStr">
        <is>
          <t>Analyst estimate; build 6-12 months (R4 Slovakia benchmark)</t>
        </is>
      </c>
    </row>
    <row r="12">
      <c r="A12" s="9" t="inlineStr">
        <is>
          <t>Vehicles &amp; logistics equipment</t>
        </is>
      </c>
      <c r="B12" s="8" t="inlineStr">
        <is>
          <t>AED m</t>
        </is>
      </c>
      <c r="C12" s="16" t="n">
        <v>0</v>
      </c>
      <c r="D12" s="23">
        <f>0.6*Assumptions!$G$39</f>
        <v/>
      </c>
      <c r="E12" s="23">
        <f>0.4*Assumptions!$G$39</f>
        <v/>
      </c>
      <c r="F12" s="16" t="n">
        <v>0</v>
      </c>
      <c r="G12" s="17">
        <f>SUM(C12:F12)</f>
        <v/>
      </c>
      <c r="H12" s="12" t="inlineStr">
        <is>
          <t>Analyst estimate; backhaul-first design (R1 Lithuania)</t>
        </is>
      </c>
    </row>
    <row r="13">
      <c r="A13" s="9" t="inlineStr">
        <is>
          <t>Setup &amp; pre-launch costs</t>
        </is>
      </c>
      <c r="B13" s="8" t="inlineStr">
        <is>
          <t>AED m</t>
        </is>
      </c>
      <c r="C13" s="23">
        <f>0.55*Assumptions!$G$41</f>
        <v/>
      </c>
      <c r="D13" s="23">
        <f>0.45*Assumptions!$G$41</f>
        <v/>
      </c>
      <c r="E13" s="16" t="n">
        <v>0</v>
      </c>
      <c r="F13" s="16" t="n">
        <v>0</v>
      </c>
      <c r="G13" s="17">
        <f>SUM(C13:F13)</f>
        <v/>
      </c>
      <c r="H13" s="12" t="inlineStr">
        <is>
          <t>Legal, DSO formation, SKU registration, launch campaign (analyst estimate)</t>
        </is>
      </c>
    </row>
    <row r="14">
      <c r="A14" s="9" t="inlineStr">
        <is>
          <t>Contingency on hard capex</t>
        </is>
      </c>
      <c r="B14" s="8" t="inlineStr">
        <is>
          <t>AED m</t>
        </is>
      </c>
      <c r="C14" s="23">
        <f>Assumptions!$G$43*(C8+C10+C11+C12)</f>
        <v/>
      </c>
      <c r="D14" s="23">
        <f>Assumptions!$G$43*(D8+D10+D11+D12)</f>
        <v/>
      </c>
      <c r="E14" s="23">
        <f>Assumptions!$G$43*(E8+E10+E11+E12)</f>
        <v/>
      </c>
      <c r="F14" s="23">
        <f>Assumptions!$G$43*(F8+F10+F11+F12)</f>
        <v/>
      </c>
      <c r="G14" s="17">
        <f>SUM(C14:F14)</f>
        <v/>
      </c>
      <c r="H14" s="12" t="inlineStr">
        <is>
          <t>Contingency % per Assumptions</t>
        </is>
      </c>
    </row>
    <row r="15">
      <c r="A15" s="3" t="inlineStr">
        <is>
          <t>TOTAL CAPEX</t>
        </is>
      </c>
      <c r="B15" s="8" t="inlineStr">
        <is>
          <t>AED m</t>
        </is>
      </c>
      <c r="C15" s="17">
        <f>C8+C10+C11+C12+C13+C14</f>
        <v/>
      </c>
      <c r="D15" s="17">
        <f>D8+D10+D11+D12+D13+D14</f>
        <v/>
      </c>
      <c r="E15" s="17">
        <f>E8+E10+E11+E12+E13+E14</f>
        <v/>
      </c>
      <c r="F15" s="17">
        <f>F8+F10+F11+F12+F13+F14</f>
        <v/>
      </c>
      <c r="G15" s="17">
        <f>SUM(C15:F15)</f>
        <v/>
      </c>
      <c r="H15" s="12" t="inlineStr"/>
    </row>
    <row r="16"/>
    <row r="17">
      <c r="A17" s="9" t="inlineStr">
        <is>
          <t>Memo: total capex per resident (AED)</t>
        </is>
      </c>
      <c r="C17" s="25">
        <f>G15*1000000/(Assumptions!$G$9*1000000)</f>
        <v/>
      </c>
    </row>
    <row r="18">
      <c r="A18" s="9" t="inlineStr">
        <is>
          <t>Memo: total capex in USD m / EUR m</t>
        </is>
      </c>
      <c r="C18" s="23">
        <f>G15/Assumptions!$G$7</f>
        <v/>
      </c>
      <c r="D18" s="23">
        <f>G15/Assumptions!$G$8</f>
        <v/>
      </c>
    </row>
    <row r="19">
      <c r="A19" s="24" t="inlineStr">
        <is>
          <t>Context: Romania RetuRO setup loan €85-90m for 19m people, largely retailer-borne RVMs (R4). UAE model is operator-owned fleet incl. glass.</t>
        </is>
      </c>
    </row>
    <row r="20"/>
    <row r="21">
      <c r="A21" s="6" t="inlineStr">
        <is>
          <t>DEPRECIATION SCHEDULE (straight line from spend year; hard capex incl. contingency)</t>
        </is>
      </c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7" t="n"/>
    </row>
    <row r="22">
      <c r="A22" s="5" t="inlineStr">
        <is>
          <t>Class</t>
        </is>
      </c>
      <c r="B22" s="5" t="inlineStr">
        <is>
          <t>Life</t>
        </is>
      </c>
      <c r="C22" s="5" t="n">
        <v>2026</v>
      </c>
      <c r="D22" s="5" t="n">
        <v>2027</v>
      </c>
      <c r="E22" s="5" t="n">
        <v>2028</v>
      </c>
      <c r="F22" s="5" t="n">
        <v>2029</v>
      </c>
      <c r="G22" s="5" t="n">
        <v>2030</v>
      </c>
      <c r="H22" s="5" t="n">
        <v>2031</v>
      </c>
      <c r="I22" s="5" t="n">
        <v>2032</v>
      </c>
      <c r="J22" s="5" t="n">
        <v>2033</v>
      </c>
      <c r="K22" s="5" t="n">
        <v>2034</v>
      </c>
      <c r="L22" s="5" t="n">
        <v>2035</v>
      </c>
      <c r="M22" s="5" t="n">
        <v>2036</v>
      </c>
      <c r="N22" s="5" t="n">
        <v>2037</v>
      </c>
    </row>
    <row r="23">
      <c r="A23" s="9" t="inlineStr">
        <is>
          <t>RVM fleet</t>
        </is>
      </c>
      <c r="B23" s="8" t="inlineStr">
        <is>
          <t>RVM_LIFE</t>
        </is>
      </c>
      <c r="C23" s="25">
        <f>IF(AND(2026&gt;=2027,2026&lt;2027+Assumptions!$G$33),$D$8*(1+Assumptions!$G$43)/Assumptions!$G$33,0)+IF(AND(2026&gt;=2028,2026&lt;2028+Assumptions!$G$33),$E$8*(1+Assumptions!$G$43)/Assumptions!$G$33,0)+IF(AND(2026&gt;=2029,2026&lt;2029+Assumptions!$G$33),$F$8*(1+Assumptions!$G$43)/Assumptions!$G$33,0)</f>
        <v/>
      </c>
      <c r="D23" s="25">
        <f>IF(AND(2027&gt;=2027,2027&lt;2027+Assumptions!$G$33),$D$8*(1+Assumptions!$G$43)/Assumptions!$G$33,0)+IF(AND(2027&gt;=2028,2027&lt;2028+Assumptions!$G$33),$E$8*(1+Assumptions!$G$43)/Assumptions!$G$33,0)+IF(AND(2027&gt;=2029,2027&lt;2029+Assumptions!$G$33),$F$8*(1+Assumptions!$G$43)/Assumptions!$G$33,0)</f>
        <v/>
      </c>
      <c r="E23" s="25">
        <f>IF(AND(2028&gt;=2027,2028&lt;2027+Assumptions!$G$33),$D$8*(1+Assumptions!$G$43)/Assumptions!$G$33,0)+IF(AND(2028&gt;=2028,2028&lt;2028+Assumptions!$G$33),$E$8*(1+Assumptions!$G$43)/Assumptions!$G$33,0)+IF(AND(2028&gt;=2029,2028&lt;2029+Assumptions!$G$33),$F$8*(1+Assumptions!$G$43)/Assumptions!$G$33,0)</f>
        <v/>
      </c>
      <c r="F23" s="25">
        <f>IF(AND(2029&gt;=2027,2029&lt;2027+Assumptions!$G$33),$D$8*(1+Assumptions!$G$43)/Assumptions!$G$33,0)+IF(AND(2029&gt;=2028,2029&lt;2028+Assumptions!$G$33),$E$8*(1+Assumptions!$G$43)/Assumptions!$G$33,0)+IF(AND(2029&gt;=2029,2029&lt;2029+Assumptions!$G$33),$F$8*(1+Assumptions!$G$43)/Assumptions!$G$33,0)</f>
        <v/>
      </c>
      <c r="G23" s="25">
        <f>IF(AND(2030&gt;=2027,2030&lt;2027+Assumptions!$G$33),$D$8*(1+Assumptions!$G$43)/Assumptions!$G$33,0)+IF(AND(2030&gt;=2028,2030&lt;2028+Assumptions!$G$33),$E$8*(1+Assumptions!$G$43)/Assumptions!$G$33,0)+IF(AND(2030&gt;=2029,2030&lt;2029+Assumptions!$G$33),$F$8*(1+Assumptions!$G$43)/Assumptions!$G$33,0)</f>
        <v/>
      </c>
      <c r="H23" s="25">
        <f>IF(AND(2031&gt;=2027,2031&lt;2027+Assumptions!$G$33),$D$8*(1+Assumptions!$G$43)/Assumptions!$G$33,0)+IF(AND(2031&gt;=2028,2031&lt;2028+Assumptions!$G$33),$E$8*(1+Assumptions!$G$43)/Assumptions!$G$33,0)+IF(AND(2031&gt;=2029,2031&lt;2029+Assumptions!$G$33),$F$8*(1+Assumptions!$G$43)/Assumptions!$G$33,0)</f>
        <v/>
      </c>
      <c r="I23" s="25">
        <f>IF(AND(2032&gt;=2027,2032&lt;2027+Assumptions!$G$33),$D$8*(1+Assumptions!$G$43)/Assumptions!$G$33,0)+IF(AND(2032&gt;=2028,2032&lt;2028+Assumptions!$G$33),$E$8*(1+Assumptions!$G$43)/Assumptions!$G$33,0)+IF(AND(2032&gt;=2029,2032&lt;2029+Assumptions!$G$33),$F$8*(1+Assumptions!$G$43)/Assumptions!$G$33,0)</f>
        <v/>
      </c>
      <c r="J23" s="25">
        <f>IF(AND(2033&gt;=2027,2033&lt;2027+Assumptions!$G$33),$D$8*(1+Assumptions!$G$43)/Assumptions!$G$33,0)+IF(AND(2033&gt;=2028,2033&lt;2028+Assumptions!$G$33),$E$8*(1+Assumptions!$G$43)/Assumptions!$G$33,0)+IF(AND(2033&gt;=2029,2033&lt;2029+Assumptions!$G$33),$F$8*(1+Assumptions!$G$43)/Assumptions!$G$33,0)</f>
        <v/>
      </c>
      <c r="K23" s="25">
        <f>IF(AND(2034&gt;=2027,2034&lt;2027+Assumptions!$G$33),$D$8*(1+Assumptions!$G$43)/Assumptions!$G$33,0)+IF(AND(2034&gt;=2028,2034&lt;2028+Assumptions!$G$33),$E$8*(1+Assumptions!$G$43)/Assumptions!$G$33,0)+IF(AND(2034&gt;=2029,2034&lt;2029+Assumptions!$G$33),$F$8*(1+Assumptions!$G$43)/Assumptions!$G$33,0)</f>
        <v/>
      </c>
      <c r="L23" s="25">
        <f>IF(AND(2035&gt;=2027,2035&lt;2027+Assumptions!$G$33),$D$8*(1+Assumptions!$G$43)/Assumptions!$G$33,0)+IF(AND(2035&gt;=2028,2035&lt;2028+Assumptions!$G$33),$E$8*(1+Assumptions!$G$43)/Assumptions!$G$33,0)+IF(AND(2035&gt;=2029,2035&lt;2029+Assumptions!$G$33),$F$8*(1+Assumptions!$G$43)/Assumptions!$G$33,0)</f>
        <v/>
      </c>
      <c r="M23" s="25">
        <f>IF(AND(2036&gt;=2027,2036&lt;2027+Assumptions!$G$33),$D$8*(1+Assumptions!$G$43)/Assumptions!$G$33,0)+IF(AND(2036&gt;=2028,2036&lt;2028+Assumptions!$G$33),$E$8*(1+Assumptions!$G$43)/Assumptions!$G$33,0)+IF(AND(2036&gt;=2029,2036&lt;2029+Assumptions!$G$33),$F$8*(1+Assumptions!$G$43)/Assumptions!$G$33,0)</f>
        <v/>
      </c>
      <c r="N23" s="25">
        <f>IF(AND(2037&gt;=2027,2037&lt;2027+Assumptions!$G$33),$D$8*(1+Assumptions!$G$43)/Assumptions!$G$33,0)+IF(AND(2037&gt;=2028,2037&lt;2028+Assumptions!$G$33),$E$8*(1+Assumptions!$G$43)/Assumptions!$G$33,0)+IF(AND(2037&gt;=2029,2037&lt;2029+Assumptions!$G$33),$F$8*(1+Assumptions!$G$43)/Assumptions!$G$33,0)</f>
        <v/>
      </c>
    </row>
    <row r="24">
      <c r="A24" s="9" t="inlineStr">
        <is>
          <t>Centres</t>
        </is>
      </c>
      <c r="B24" s="8" t="inlineStr">
        <is>
          <t>CENT_LIFE</t>
        </is>
      </c>
      <c r="C24" s="25">
        <f>IF(AND(2026&gt;=2027,2026&lt;2027+Assumptions!$G$36),$D$10*(1+Assumptions!$G$43)/Assumptions!$G$36,0)+IF(AND(2026&gt;=2028,2026&lt;2028+Assumptions!$G$36),$E$10*(1+Assumptions!$G$43)/Assumptions!$G$36,0)</f>
        <v/>
      </c>
      <c r="D24" s="25">
        <f>IF(AND(2027&gt;=2027,2027&lt;2027+Assumptions!$G$36),$D$10*(1+Assumptions!$G$43)/Assumptions!$G$36,0)+IF(AND(2027&gt;=2028,2027&lt;2028+Assumptions!$G$36),$E$10*(1+Assumptions!$G$43)/Assumptions!$G$36,0)</f>
        <v/>
      </c>
      <c r="E24" s="25">
        <f>IF(AND(2028&gt;=2027,2028&lt;2027+Assumptions!$G$36),$D$10*(1+Assumptions!$G$43)/Assumptions!$G$36,0)+IF(AND(2028&gt;=2028,2028&lt;2028+Assumptions!$G$36),$E$10*(1+Assumptions!$G$43)/Assumptions!$G$36,0)</f>
        <v/>
      </c>
      <c r="F24" s="25">
        <f>IF(AND(2029&gt;=2027,2029&lt;2027+Assumptions!$G$36),$D$10*(1+Assumptions!$G$43)/Assumptions!$G$36,0)+IF(AND(2029&gt;=2028,2029&lt;2028+Assumptions!$G$36),$E$10*(1+Assumptions!$G$43)/Assumptions!$G$36,0)</f>
        <v/>
      </c>
      <c r="G24" s="25">
        <f>IF(AND(2030&gt;=2027,2030&lt;2027+Assumptions!$G$36),$D$10*(1+Assumptions!$G$43)/Assumptions!$G$36,0)+IF(AND(2030&gt;=2028,2030&lt;2028+Assumptions!$G$36),$E$10*(1+Assumptions!$G$43)/Assumptions!$G$36,0)</f>
        <v/>
      </c>
      <c r="H24" s="25">
        <f>IF(AND(2031&gt;=2027,2031&lt;2027+Assumptions!$G$36),$D$10*(1+Assumptions!$G$43)/Assumptions!$G$36,0)+IF(AND(2031&gt;=2028,2031&lt;2028+Assumptions!$G$36),$E$10*(1+Assumptions!$G$43)/Assumptions!$G$36,0)</f>
        <v/>
      </c>
      <c r="I24" s="25">
        <f>IF(AND(2032&gt;=2027,2032&lt;2027+Assumptions!$G$36),$D$10*(1+Assumptions!$G$43)/Assumptions!$G$36,0)+IF(AND(2032&gt;=2028,2032&lt;2028+Assumptions!$G$36),$E$10*(1+Assumptions!$G$43)/Assumptions!$G$36,0)</f>
        <v/>
      </c>
      <c r="J24" s="25">
        <f>IF(AND(2033&gt;=2027,2033&lt;2027+Assumptions!$G$36),$D$10*(1+Assumptions!$G$43)/Assumptions!$G$36,0)+IF(AND(2033&gt;=2028,2033&lt;2028+Assumptions!$G$36),$E$10*(1+Assumptions!$G$43)/Assumptions!$G$36,0)</f>
        <v/>
      </c>
      <c r="K24" s="25">
        <f>IF(AND(2034&gt;=2027,2034&lt;2027+Assumptions!$G$36),$D$10*(1+Assumptions!$G$43)/Assumptions!$G$36,0)+IF(AND(2034&gt;=2028,2034&lt;2028+Assumptions!$G$36),$E$10*(1+Assumptions!$G$43)/Assumptions!$G$36,0)</f>
        <v/>
      </c>
      <c r="L24" s="25">
        <f>IF(AND(2035&gt;=2027,2035&lt;2027+Assumptions!$G$36),$D$10*(1+Assumptions!$G$43)/Assumptions!$G$36,0)+IF(AND(2035&gt;=2028,2035&lt;2028+Assumptions!$G$36),$E$10*(1+Assumptions!$G$43)/Assumptions!$G$36,0)</f>
        <v/>
      </c>
      <c r="M24" s="25">
        <f>IF(AND(2036&gt;=2027,2036&lt;2027+Assumptions!$G$36),$D$10*(1+Assumptions!$G$43)/Assumptions!$G$36,0)+IF(AND(2036&gt;=2028,2036&lt;2028+Assumptions!$G$36),$E$10*(1+Assumptions!$G$43)/Assumptions!$G$36,0)</f>
        <v/>
      </c>
      <c r="N24" s="25">
        <f>IF(AND(2037&gt;=2027,2037&lt;2027+Assumptions!$G$36),$D$10*(1+Assumptions!$G$43)/Assumptions!$G$36,0)+IF(AND(2037&gt;=2028,2037&lt;2028+Assumptions!$G$36),$E$10*(1+Assumptions!$G$43)/Assumptions!$G$36,0)</f>
        <v/>
      </c>
    </row>
    <row r="25">
      <c r="A25" s="9" t="inlineStr">
        <is>
          <t>IT platform</t>
        </is>
      </c>
      <c r="B25" s="8" t="inlineStr">
        <is>
          <t>IT_LIFE</t>
        </is>
      </c>
      <c r="C25" s="25">
        <f>IF(AND(2026&gt;=2026,2026&lt;2026+Assumptions!$G$38),$C$11*(1+Assumptions!$G$43)/Assumptions!$G$38,0)+IF(AND(2026&gt;=2027,2026&lt;2027+Assumptions!$G$38),$D$11*(1+Assumptions!$G$43)/Assumptions!$G$38,0)</f>
        <v/>
      </c>
      <c r="D25" s="25">
        <f>IF(AND(2027&gt;=2026,2027&lt;2026+Assumptions!$G$38),$C$11*(1+Assumptions!$G$43)/Assumptions!$G$38,0)+IF(AND(2027&gt;=2027,2027&lt;2027+Assumptions!$G$38),$D$11*(1+Assumptions!$G$43)/Assumptions!$G$38,0)</f>
        <v/>
      </c>
      <c r="E25" s="25">
        <f>IF(AND(2028&gt;=2026,2028&lt;2026+Assumptions!$G$38),$C$11*(1+Assumptions!$G$43)/Assumptions!$G$38,0)+IF(AND(2028&gt;=2027,2028&lt;2027+Assumptions!$G$38),$D$11*(1+Assumptions!$G$43)/Assumptions!$G$38,0)</f>
        <v/>
      </c>
      <c r="F25" s="25">
        <f>IF(AND(2029&gt;=2026,2029&lt;2026+Assumptions!$G$38),$C$11*(1+Assumptions!$G$43)/Assumptions!$G$38,0)+IF(AND(2029&gt;=2027,2029&lt;2027+Assumptions!$G$38),$D$11*(1+Assumptions!$G$43)/Assumptions!$G$38,0)</f>
        <v/>
      </c>
      <c r="G25" s="25">
        <f>IF(AND(2030&gt;=2026,2030&lt;2026+Assumptions!$G$38),$C$11*(1+Assumptions!$G$43)/Assumptions!$G$38,0)+IF(AND(2030&gt;=2027,2030&lt;2027+Assumptions!$G$38),$D$11*(1+Assumptions!$G$43)/Assumptions!$G$38,0)</f>
        <v/>
      </c>
      <c r="H25" s="25">
        <f>IF(AND(2031&gt;=2026,2031&lt;2026+Assumptions!$G$38),$C$11*(1+Assumptions!$G$43)/Assumptions!$G$38,0)+IF(AND(2031&gt;=2027,2031&lt;2027+Assumptions!$G$38),$D$11*(1+Assumptions!$G$43)/Assumptions!$G$38,0)</f>
        <v/>
      </c>
      <c r="I25" s="25">
        <f>IF(AND(2032&gt;=2026,2032&lt;2026+Assumptions!$G$38),$C$11*(1+Assumptions!$G$43)/Assumptions!$G$38,0)+IF(AND(2032&gt;=2027,2032&lt;2027+Assumptions!$G$38),$D$11*(1+Assumptions!$G$43)/Assumptions!$G$38,0)</f>
        <v/>
      </c>
      <c r="J25" s="25">
        <f>IF(AND(2033&gt;=2026,2033&lt;2026+Assumptions!$G$38),$C$11*(1+Assumptions!$G$43)/Assumptions!$G$38,0)+IF(AND(2033&gt;=2027,2033&lt;2027+Assumptions!$G$38),$D$11*(1+Assumptions!$G$43)/Assumptions!$G$38,0)</f>
        <v/>
      </c>
      <c r="K25" s="25">
        <f>IF(AND(2034&gt;=2026,2034&lt;2026+Assumptions!$G$38),$C$11*(1+Assumptions!$G$43)/Assumptions!$G$38,0)+IF(AND(2034&gt;=2027,2034&lt;2027+Assumptions!$G$38),$D$11*(1+Assumptions!$G$43)/Assumptions!$G$38,0)</f>
        <v/>
      </c>
      <c r="L25" s="25">
        <f>IF(AND(2035&gt;=2026,2035&lt;2026+Assumptions!$G$38),$C$11*(1+Assumptions!$G$43)/Assumptions!$G$38,0)+IF(AND(2035&gt;=2027,2035&lt;2027+Assumptions!$G$38),$D$11*(1+Assumptions!$G$43)/Assumptions!$G$38,0)</f>
        <v/>
      </c>
      <c r="M25" s="25">
        <f>IF(AND(2036&gt;=2026,2036&lt;2026+Assumptions!$G$38),$C$11*(1+Assumptions!$G$43)/Assumptions!$G$38,0)+IF(AND(2036&gt;=2027,2036&lt;2027+Assumptions!$G$38),$D$11*(1+Assumptions!$G$43)/Assumptions!$G$38,0)</f>
        <v/>
      </c>
      <c r="N25" s="25">
        <f>IF(AND(2037&gt;=2026,2037&lt;2026+Assumptions!$G$38),$C$11*(1+Assumptions!$G$43)/Assumptions!$G$38,0)+IF(AND(2037&gt;=2027,2037&lt;2027+Assumptions!$G$38),$D$11*(1+Assumptions!$G$43)/Assumptions!$G$38,0)</f>
        <v/>
      </c>
    </row>
    <row r="26">
      <c r="A26" s="9" t="inlineStr">
        <is>
          <t>Vehicles</t>
        </is>
      </c>
      <c r="B26" s="8" t="inlineStr">
        <is>
          <t>VEH_LIFE</t>
        </is>
      </c>
      <c r="C26" s="25">
        <f>IF(AND(2026&gt;=2027,2026&lt;2027+Assumptions!$G$40),$D$12*(1+Assumptions!$G$43)/Assumptions!$G$40,0)+IF(AND(2026&gt;=2028,2026&lt;2028+Assumptions!$G$40),$E$12*(1+Assumptions!$G$43)/Assumptions!$G$40,0)</f>
        <v/>
      </c>
      <c r="D26" s="25">
        <f>IF(AND(2027&gt;=2027,2027&lt;2027+Assumptions!$G$40),$D$12*(1+Assumptions!$G$43)/Assumptions!$G$40,0)+IF(AND(2027&gt;=2028,2027&lt;2028+Assumptions!$G$40),$E$12*(1+Assumptions!$G$43)/Assumptions!$G$40,0)</f>
        <v/>
      </c>
      <c r="E26" s="25">
        <f>IF(AND(2028&gt;=2027,2028&lt;2027+Assumptions!$G$40),$D$12*(1+Assumptions!$G$43)/Assumptions!$G$40,0)+IF(AND(2028&gt;=2028,2028&lt;2028+Assumptions!$G$40),$E$12*(1+Assumptions!$G$43)/Assumptions!$G$40,0)</f>
        <v/>
      </c>
      <c r="F26" s="25">
        <f>IF(AND(2029&gt;=2027,2029&lt;2027+Assumptions!$G$40),$D$12*(1+Assumptions!$G$43)/Assumptions!$G$40,0)+IF(AND(2029&gt;=2028,2029&lt;2028+Assumptions!$G$40),$E$12*(1+Assumptions!$G$43)/Assumptions!$G$40,0)</f>
        <v/>
      </c>
      <c r="G26" s="25">
        <f>IF(AND(2030&gt;=2027,2030&lt;2027+Assumptions!$G$40),$D$12*(1+Assumptions!$G$43)/Assumptions!$G$40,0)+IF(AND(2030&gt;=2028,2030&lt;2028+Assumptions!$G$40),$E$12*(1+Assumptions!$G$43)/Assumptions!$G$40,0)</f>
        <v/>
      </c>
      <c r="H26" s="25">
        <f>IF(AND(2031&gt;=2027,2031&lt;2027+Assumptions!$G$40),$D$12*(1+Assumptions!$G$43)/Assumptions!$G$40,0)+IF(AND(2031&gt;=2028,2031&lt;2028+Assumptions!$G$40),$E$12*(1+Assumptions!$G$43)/Assumptions!$G$40,0)</f>
        <v/>
      </c>
      <c r="I26" s="25">
        <f>IF(AND(2032&gt;=2027,2032&lt;2027+Assumptions!$G$40),$D$12*(1+Assumptions!$G$43)/Assumptions!$G$40,0)+IF(AND(2032&gt;=2028,2032&lt;2028+Assumptions!$G$40),$E$12*(1+Assumptions!$G$43)/Assumptions!$G$40,0)</f>
        <v/>
      </c>
      <c r="J26" s="25">
        <f>IF(AND(2033&gt;=2027,2033&lt;2027+Assumptions!$G$40),$D$12*(1+Assumptions!$G$43)/Assumptions!$G$40,0)+IF(AND(2033&gt;=2028,2033&lt;2028+Assumptions!$G$40),$E$12*(1+Assumptions!$G$43)/Assumptions!$G$40,0)</f>
        <v/>
      </c>
      <c r="K26" s="25">
        <f>IF(AND(2034&gt;=2027,2034&lt;2027+Assumptions!$G$40),$D$12*(1+Assumptions!$G$43)/Assumptions!$G$40,0)+IF(AND(2034&gt;=2028,2034&lt;2028+Assumptions!$G$40),$E$12*(1+Assumptions!$G$43)/Assumptions!$G$40,0)</f>
        <v/>
      </c>
      <c r="L26" s="25">
        <f>IF(AND(2035&gt;=2027,2035&lt;2027+Assumptions!$G$40),$D$12*(1+Assumptions!$G$43)/Assumptions!$G$40,0)+IF(AND(2035&gt;=2028,2035&lt;2028+Assumptions!$G$40),$E$12*(1+Assumptions!$G$43)/Assumptions!$G$40,0)</f>
        <v/>
      </c>
      <c r="M26" s="25">
        <f>IF(AND(2036&gt;=2027,2036&lt;2027+Assumptions!$G$40),$D$12*(1+Assumptions!$G$43)/Assumptions!$G$40,0)+IF(AND(2036&gt;=2028,2036&lt;2028+Assumptions!$G$40),$E$12*(1+Assumptions!$G$43)/Assumptions!$G$40,0)</f>
        <v/>
      </c>
      <c r="N26" s="25">
        <f>IF(AND(2037&gt;=2027,2037&lt;2027+Assumptions!$G$40),$D$12*(1+Assumptions!$G$43)/Assumptions!$G$40,0)+IF(AND(2037&gt;=2028,2037&lt;2028+Assumptions!$G$40),$E$12*(1+Assumptions!$G$43)/Assumptions!$G$40,0)</f>
        <v/>
      </c>
    </row>
    <row r="27">
      <c r="A27" s="9" t="inlineStr">
        <is>
          <t>Setup costs</t>
        </is>
      </c>
      <c r="B27" s="8" t="inlineStr">
        <is>
          <t>SETUP_LIFE</t>
        </is>
      </c>
      <c r="C27" s="25">
        <f>IF(AND(2026&gt;=2026,2026&lt;2026+Assumptions!$G$42),$C$13/Assumptions!$G$42,0)+IF(AND(2026&gt;=2027,2026&lt;2027+Assumptions!$G$42),$D$13/Assumptions!$G$42,0)</f>
        <v/>
      </c>
      <c r="D27" s="25">
        <f>IF(AND(2027&gt;=2026,2027&lt;2026+Assumptions!$G$42),$C$13/Assumptions!$G$42,0)+IF(AND(2027&gt;=2027,2027&lt;2027+Assumptions!$G$42),$D$13/Assumptions!$G$42,0)</f>
        <v/>
      </c>
      <c r="E27" s="25">
        <f>IF(AND(2028&gt;=2026,2028&lt;2026+Assumptions!$G$42),$C$13/Assumptions!$G$42,0)+IF(AND(2028&gt;=2027,2028&lt;2027+Assumptions!$G$42),$D$13/Assumptions!$G$42,0)</f>
        <v/>
      </c>
      <c r="F27" s="25">
        <f>IF(AND(2029&gt;=2026,2029&lt;2026+Assumptions!$G$42),$C$13/Assumptions!$G$42,0)+IF(AND(2029&gt;=2027,2029&lt;2027+Assumptions!$G$42),$D$13/Assumptions!$G$42,0)</f>
        <v/>
      </c>
      <c r="G27" s="25">
        <f>IF(AND(2030&gt;=2026,2030&lt;2026+Assumptions!$G$42),$C$13/Assumptions!$G$42,0)+IF(AND(2030&gt;=2027,2030&lt;2027+Assumptions!$G$42),$D$13/Assumptions!$G$42,0)</f>
        <v/>
      </c>
      <c r="H27" s="25">
        <f>IF(AND(2031&gt;=2026,2031&lt;2026+Assumptions!$G$42),$C$13/Assumptions!$G$42,0)+IF(AND(2031&gt;=2027,2031&lt;2027+Assumptions!$G$42),$D$13/Assumptions!$G$42,0)</f>
        <v/>
      </c>
      <c r="I27" s="25">
        <f>IF(AND(2032&gt;=2026,2032&lt;2026+Assumptions!$G$42),$C$13/Assumptions!$G$42,0)+IF(AND(2032&gt;=2027,2032&lt;2027+Assumptions!$G$42),$D$13/Assumptions!$G$42,0)</f>
        <v/>
      </c>
      <c r="J27" s="25">
        <f>IF(AND(2033&gt;=2026,2033&lt;2026+Assumptions!$G$42),$C$13/Assumptions!$G$42,0)+IF(AND(2033&gt;=2027,2033&lt;2027+Assumptions!$G$42),$D$13/Assumptions!$G$42,0)</f>
        <v/>
      </c>
      <c r="K27" s="25">
        <f>IF(AND(2034&gt;=2026,2034&lt;2026+Assumptions!$G$42),$C$13/Assumptions!$G$42,0)+IF(AND(2034&gt;=2027,2034&lt;2027+Assumptions!$G$42),$D$13/Assumptions!$G$42,0)</f>
        <v/>
      </c>
      <c r="L27" s="25">
        <f>IF(AND(2035&gt;=2026,2035&lt;2026+Assumptions!$G$42),$C$13/Assumptions!$G$42,0)+IF(AND(2035&gt;=2027,2035&lt;2027+Assumptions!$G$42),$D$13/Assumptions!$G$42,0)</f>
        <v/>
      </c>
      <c r="M27" s="25">
        <f>IF(AND(2036&gt;=2026,2036&lt;2026+Assumptions!$G$42),$C$13/Assumptions!$G$42,0)+IF(AND(2036&gt;=2027,2036&lt;2027+Assumptions!$G$42),$D$13/Assumptions!$G$42,0)</f>
        <v/>
      </c>
      <c r="N27" s="25">
        <f>IF(AND(2037&gt;=2026,2037&lt;2026+Assumptions!$G$42),$C$13/Assumptions!$G$42,0)+IF(AND(2037&gt;=2027,2037&lt;2027+Assumptions!$G$42),$D$13/Assumptions!$G$42,0)</f>
        <v/>
      </c>
    </row>
    <row r="28">
      <c r="A28" s="3" t="inlineStr">
        <is>
          <t>TOTAL DEPRECIATION</t>
        </is>
      </c>
      <c r="B28" s="8" t="inlineStr">
        <is>
          <t>AED m</t>
        </is>
      </c>
      <c r="C28" s="26">
        <f>SUM(C23:C27)</f>
        <v/>
      </c>
      <c r="D28" s="26">
        <f>SUM(D23:D27)</f>
        <v/>
      </c>
      <c r="E28" s="26">
        <f>SUM(E23:E27)</f>
        <v/>
      </c>
      <c r="F28" s="26">
        <f>SUM(F23:F27)</f>
        <v/>
      </c>
      <c r="G28" s="26">
        <f>SUM(G23:G27)</f>
        <v/>
      </c>
      <c r="H28" s="26">
        <f>SUM(H23:H27)</f>
        <v/>
      </c>
      <c r="I28" s="26">
        <f>SUM(I23:I27)</f>
        <v/>
      </c>
      <c r="J28" s="26">
        <f>SUM(J23:J27)</f>
        <v/>
      </c>
      <c r="K28" s="26">
        <f>SUM(K23:K27)</f>
        <v/>
      </c>
      <c r="L28" s="26">
        <f>SUM(L23:L27)</f>
        <v/>
      </c>
      <c r="M28" s="26">
        <f>SUM(M23:M27)</f>
        <v/>
      </c>
      <c r="N28" s="26">
        <f>SUM(N23:N27)</f>
        <v/>
      </c>
    </row>
    <row r="29"/>
    <row r="30">
      <c r="A30" s="9" t="inlineStr">
        <is>
          <t>RVMs cumulative (end-year)</t>
        </is>
      </c>
      <c r="D30" s="23">
        <f>D7</f>
        <v/>
      </c>
      <c r="E30" s="23">
        <f>D30+E7</f>
        <v/>
      </c>
      <c r="F30" s="23">
        <f>E30+F7</f>
        <v/>
      </c>
      <c r="G30" s="23">
        <f>$F$30</f>
        <v/>
      </c>
      <c r="H30" s="23">
        <f>$F$30</f>
        <v/>
      </c>
      <c r="I30" s="23">
        <f>$F$30</f>
        <v/>
      </c>
      <c r="J30" s="23">
        <f>$F$30</f>
        <v/>
      </c>
      <c r="K30" s="23">
        <f>$F$30</f>
        <v/>
      </c>
      <c r="L30" s="23">
        <f>$F$30</f>
        <v/>
      </c>
      <c r="M30" s="23">
        <f>$F$30</f>
        <v/>
      </c>
      <c r="N30" s="23">
        <f>$F$30</f>
        <v/>
      </c>
    </row>
    <row r="31">
      <c r="A31" s="9" t="inlineStr">
        <is>
          <t>RVMs average in service</t>
        </is>
      </c>
      <c r="D31" s="23">
        <f>D30/2</f>
        <v/>
      </c>
      <c r="E31" s="23">
        <f>(D30+E30)/2</f>
        <v/>
      </c>
      <c r="F31" s="23">
        <f>(E30+F30)/2</f>
        <v/>
      </c>
      <c r="G31" s="23">
        <f>$F$30</f>
        <v/>
      </c>
      <c r="H31" s="23">
        <f>$F$30</f>
        <v/>
      </c>
      <c r="I31" s="23">
        <f>$F$30</f>
        <v/>
      </c>
      <c r="J31" s="23">
        <f>$F$30</f>
        <v/>
      </c>
      <c r="K31" s="23">
        <f>$F$30</f>
        <v/>
      </c>
      <c r="L31" s="23">
        <f>$F$30</f>
        <v/>
      </c>
      <c r="M31" s="23">
        <f>$F$30</f>
        <v/>
      </c>
      <c r="N31" s="23">
        <f>$F$30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31"/>
  <sheetViews>
    <sheetView showGridLines="0"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0" customWidth="1" min="1" max="1"/>
    <col width="8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46" customWidth="1" min="13" max="13"/>
  </cols>
  <sheetData>
    <row r="1">
      <c r="A1" s="1" t="inlineStr">
        <is>
          <t>OPEX - System Operating Costs (2028-2037)</t>
        </is>
      </c>
    </row>
    <row r="2">
      <c r="A2" s="2" t="inlineStr">
        <is>
          <t>AED millions. Variable lines scale with RETURNED containers; fixed lines escalate. Benchmark: Ireland all-in €0.071/container year 1 (R4).</t>
        </is>
      </c>
    </row>
    <row r="3"/>
    <row r="4"/>
    <row r="5">
      <c r="A5" s="5" t="inlineStr">
        <is>
          <t>Line</t>
        </is>
      </c>
      <c r="B5" s="5" t="inlineStr">
        <is>
          <t>Unit</t>
        </is>
      </c>
      <c r="C5" s="5" t="n">
        <v>2028</v>
      </c>
      <c r="D5" s="5" t="n">
        <v>2029</v>
      </c>
      <c r="E5" s="5" t="n">
        <v>2030</v>
      </c>
      <c r="F5" s="5" t="n">
        <v>2031</v>
      </c>
      <c r="G5" s="5" t="n">
        <v>2032</v>
      </c>
      <c r="H5" s="5" t="n">
        <v>2033</v>
      </c>
      <c r="I5" s="5" t="n">
        <v>2034</v>
      </c>
      <c r="J5" s="5" t="n">
        <v>2035</v>
      </c>
      <c r="K5" s="5" t="n">
        <v>2036</v>
      </c>
      <c r="L5" s="5" t="n">
        <v>2037</v>
      </c>
      <c r="M5" s="5" t="inlineStr">
        <is>
          <t>Source</t>
        </is>
      </c>
    </row>
    <row r="6"/>
    <row r="7">
      <c r="A7" s="9" t="inlineStr">
        <is>
          <t>Returned containers</t>
        </is>
      </c>
      <c r="B7" s="8" t="inlineStr">
        <is>
          <t>bn</t>
        </is>
      </c>
      <c r="C7" s="22">
        <f>Market_Sizing!C21</f>
        <v/>
      </c>
      <c r="D7" s="22">
        <f>Market_Sizing!D21</f>
        <v/>
      </c>
      <c r="E7" s="22">
        <f>Market_Sizing!E21</f>
        <v/>
      </c>
      <c r="F7" s="22">
        <f>Market_Sizing!F21</f>
        <v/>
      </c>
      <c r="G7" s="22">
        <f>Market_Sizing!G21</f>
        <v/>
      </c>
      <c r="H7" s="22">
        <f>Market_Sizing!H21</f>
        <v/>
      </c>
      <c r="I7" s="22">
        <f>Market_Sizing!I21</f>
        <v/>
      </c>
      <c r="J7" s="22">
        <f>Market_Sizing!J21</f>
        <v/>
      </c>
      <c r="K7" s="22">
        <f>Market_Sizing!K21</f>
        <v/>
      </c>
      <c r="L7" s="22">
        <f>Market_Sizing!L21</f>
        <v/>
      </c>
      <c r="M7" s="12" t="inlineStr">
        <is>
          <t>Market_Sizing</t>
        </is>
      </c>
    </row>
    <row r="8">
      <c r="A8" s="9" t="inlineStr">
        <is>
          <t>Escalation factor</t>
        </is>
      </c>
      <c r="B8" s="8" t="inlineStr">
        <is>
          <t>x</t>
        </is>
      </c>
      <c r="C8" s="22">
        <f>Market_Sizing!C8</f>
        <v/>
      </c>
      <c r="D8" s="22">
        <f>Market_Sizing!D8</f>
        <v/>
      </c>
      <c r="E8" s="22">
        <f>Market_Sizing!E8</f>
        <v/>
      </c>
      <c r="F8" s="22">
        <f>Market_Sizing!F8</f>
        <v/>
      </c>
      <c r="G8" s="22">
        <f>Market_Sizing!G8</f>
        <v/>
      </c>
      <c r="H8" s="22">
        <f>Market_Sizing!H8</f>
        <v/>
      </c>
      <c r="I8" s="22">
        <f>Market_Sizing!I8</f>
        <v/>
      </c>
      <c r="J8" s="22">
        <f>Market_Sizing!J8</f>
        <v/>
      </c>
      <c r="K8" s="22">
        <f>Market_Sizing!K8</f>
        <v/>
      </c>
      <c r="L8" s="22">
        <f>Market_Sizing!L8</f>
        <v/>
      </c>
      <c r="M8" s="12" t="inlineStr"/>
    </row>
    <row r="9"/>
    <row r="10">
      <c r="A10" s="6" t="inlineStr">
        <is>
          <t>VARIABLE (PER-CONTAINER) COSTS</t>
        </is>
      </c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</row>
    <row r="11">
      <c r="A11" s="9" t="inlineStr">
        <is>
          <t>Retailer handling fees</t>
        </is>
      </c>
      <c r="B11" s="8" t="inlineStr">
        <is>
          <t>AED m</t>
        </is>
      </c>
      <c r="C11" s="23">
        <f>C7*Assumptions!$G$48*1000*C8</f>
        <v/>
      </c>
      <c r="D11" s="23">
        <f>D7*Assumptions!$G$48*1000*D8</f>
        <v/>
      </c>
      <c r="E11" s="23">
        <f>E7*Assumptions!$G$48*1000*E8</f>
        <v/>
      </c>
      <c r="F11" s="23">
        <f>F7*Assumptions!$G$48*1000*F8</f>
        <v/>
      </c>
      <c r="G11" s="23">
        <f>G7*Assumptions!$G$48*1000*G8</f>
        <v/>
      </c>
      <c r="H11" s="23">
        <f>H7*Assumptions!$G$48*1000*H8</f>
        <v/>
      </c>
      <c r="I11" s="23">
        <f>I7*Assumptions!$G$48*1000*I8</f>
        <v/>
      </c>
      <c r="J11" s="23">
        <f>J7*Assumptions!$G$48*1000*J8</f>
        <v/>
      </c>
      <c r="K11" s="23">
        <f>K7*Assumptions!$G$48*1000*K8</f>
        <v/>
      </c>
      <c r="L11" s="23">
        <f>L7*Assumptions!$G$48*1000*L8</f>
        <v/>
      </c>
      <c r="M11" s="12" t="inlineStr">
        <is>
          <t>R4: Ireland €0.022-0.026/container</t>
        </is>
      </c>
    </row>
    <row r="12">
      <c r="A12" s="9" t="inlineStr">
        <is>
          <t>Collection &amp; logistics</t>
        </is>
      </c>
      <c r="B12" s="8" t="inlineStr">
        <is>
          <t>AED m</t>
        </is>
      </c>
      <c r="C12" s="23">
        <f>C7*Assumptions!$G$49*1000*C8</f>
        <v/>
      </c>
      <c r="D12" s="23">
        <f>D7*Assumptions!$G$49*1000*D8</f>
        <v/>
      </c>
      <c r="E12" s="23">
        <f>E7*Assumptions!$G$49*1000*E8</f>
        <v/>
      </c>
      <c r="F12" s="23">
        <f>F7*Assumptions!$G$49*1000*F8</f>
        <v/>
      </c>
      <c r="G12" s="23">
        <f>G7*Assumptions!$G$49*1000*G8</f>
        <v/>
      </c>
      <c r="H12" s="23">
        <f>H7*Assumptions!$G$49*1000*H8</f>
        <v/>
      </c>
      <c r="I12" s="23">
        <f>I7*Assumptions!$G$49*1000*I8</f>
        <v/>
      </c>
      <c r="J12" s="23">
        <f>J7*Assumptions!$G$49*1000*J8</f>
        <v/>
      </c>
      <c r="K12" s="23">
        <f>K7*Assumptions!$G$49*1000*K8</f>
        <v/>
      </c>
      <c r="L12" s="23">
        <f>L7*Assumptions!$G$49*1000*L8</f>
        <v/>
      </c>
      <c r="M12" s="12" t="inlineStr">
        <is>
          <t>R4: derived from Ireland €0.053/container direct</t>
        </is>
      </c>
    </row>
    <row r="13">
      <c r="A13" s="9" t="inlineStr">
        <is>
          <t>Counting/sorting centre operations</t>
        </is>
      </c>
      <c r="B13" s="8" t="inlineStr">
        <is>
          <t>AED m</t>
        </is>
      </c>
      <c r="C13" s="23">
        <f>C7*Assumptions!$G$50*1000*C8</f>
        <v/>
      </c>
      <c r="D13" s="23">
        <f>D7*Assumptions!$G$50*1000*D8</f>
        <v/>
      </c>
      <c r="E13" s="23">
        <f>E7*Assumptions!$G$50*1000*E8</f>
        <v/>
      </c>
      <c r="F13" s="23">
        <f>F7*Assumptions!$G$50*1000*F8</f>
        <v/>
      </c>
      <c r="G13" s="23">
        <f>G7*Assumptions!$G$50*1000*G8</f>
        <v/>
      </c>
      <c r="H13" s="23">
        <f>H7*Assumptions!$G$50*1000*H8</f>
        <v/>
      </c>
      <c r="I13" s="23">
        <f>I7*Assumptions!$G$50*1000*I8</f>
        <v/>
      </c>
      <c r="J13" s="23">
        <f>J7*Assumptions!$G$50*1000*J8</f>
        <v/>
      </c>
      <c r="K13" s="23">
        <f>K7*Assumptions!$G$50*1000*K8</f>
        <v/>
      </c>
      <c r="L13" s="23">
        <f>L7*Assumptions!$G$50*1000*L8</f>
        <v/>
      </c>
      <c r="M13" s="12" t="inlineStr">
        <is>
          <t>R4: derived from Ireland €0.053/container direct</t>
        </is>
      </c>
    </row>
    <row r="14">
      <c r="A14" s="9" t="inlineStr">
        <is>
          <t>RVM consumables</t>
        </is>
      </c>
      <c r="B14" s="8" t="inlineStr">
        <is>
          <t>AED m</t>
        </is>
      </c>
      <c r="C14" s="23">
        <f>C7*Assumptions!$G$51*1000*C8</f>
        <v/>
      </c>
      <c r="D14" s="23">
        <f>D7*Assumptions!$G$51*1000*D8</f>
        <v/>
      </c>
      <c r="E14" s="23">
        <f>E7*Assumptions!$G$51*1000*E8</f>
        <v/>
      </c>
      <c r="F14" s="23">
        <f>F7*Assumptions!$G$51*1000*F8</f>
        <v/>
      </c>
      <c r="G14" s="23">
        <f>G7*Assumptions!$G$51*1000*G8</f>
        <v/>
      </c>
      <c r="H14" s="23">
        <f>H7*Assumptions!$G$51*1000*H8</f>
        <v/>
      </c>
      <c r="I14" s="23">
        <f>I7*Assumptions!$G$51*1000*I8</f>
        <v/>
      </c>
      <c r="J14" s="23">
        <f>J7*Assumptions!$G$51*1000*J8</f>
        <v/>
      </c>
      <c r="K14" s="23">
        <f>K7*Assumptions!$G$51*1000*K8</f>
        <v/>
      </c>
      <c r="L14" s="23">
        <f>L7*Assumptions!$G$51*1000*L8</f>
        <v/>
      </c>
      <c r="M14" s="12" t="inlineStr">
        <is>
          <t>R4 §2.1 consumables</t>
        </is>
      </c>
    </row>
    <row r="15"/>
    <row r="16">
      <c r="A16" s="6" t="inlineStr">
        <is>
          <t>FIXED &amp; SEMI-FIXED COSTS</t>
        </is>
      </c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</row>
    <row r="17">
      <c r="A17" s="9" t="inlineStr">
        <is>
          <t>RVM maintenance</t>
        </is>
      </c>
      <c r="B17" s="8" t="inlineStr">
        <is>
          <t>AED m</t>
        </is>
      </c>
      <c r="C17" s="23">
        <f>CAPEX!E31*Assumptions!$G$52/1000000</f>
        <v/>
      </c>
      <c r="D17" s="23">
        <f>CAPEX!F31*Assumptions!$G$52/1000000</f>
        <v/>
      </c>
      <c r="E17" s="23">
        <f>CAPEX!G31*Assumptions!$G$52/1000000</f>
        <v/>
      </c>
      <c r="F17" s="23">
        <f>CAPEX!H31*Assumptions!$G$52/1000000</f>
        <v/>
      </c>
      <c r="G17" s="23">
        <f>CAPEX!I31*Assumptions!$G$52/1000000</f>
        <v/>
      </c>
      <c r="H17" s="23">
        <f>CAPEX!J31*Assumptions!$G$52/1000000</f>
        <v/>
      </c>
      <c r="I17" s="23">
        <f>CAPEX!K31*Assumptions!$G$52/1000000</f>
        <v/>
      </c>
      <c r="J17" s="23">
        <f>CAPEX!L31*Assumptions!$G$52/1000000</f>
        <v/>
      </c>
      <c r="K17" s="23">
        <f>CAPEX!M31*Assumptions!$G$52/1000000</f>
        <v/>
      </c>
      <c r="L17" s="23">
        <f>CAPEX!N31*Assumptions!$G$52/1000000</f>
        <v/>
      </c>
      <c r="M17" s="12" t="inlineStr">
        <is>
          <t>R4: ~$1,200/machine/yr</t>
        </is>
      </c>
    </row>
    <row r="18">
      <c r="A18" s="9" t="inlineStr">
        <is>
          <t>Central IT operations</t>
        </is>
      </c>
      <c r="B18" s="8" t="inlineStr">
        <is>
          <t>AED m</t>
        </is>
      </c>
      <c r="C18" s="23">
        <f>Assumptions!$G$53*C8</f>
        <v/>
      </c>
      <c r="D18" s="23">
        <f>Assumptions!$G$53*D8</f>
        <v/>
      </c>
      <c r="E18" s="23">
        <f>Assumptions!$G$53*E8</f>
        <v/>
      </c>
      <c r="F18" s="23">
        <f>Assumptions!$G$53*F8</f>
        <v/>
      </c>
      <c r="G18" s="23">
        <f>Assumptions!$G$53*G8</f>
        <v/>
      </c>
      <c r="H18" s="23">
        <f>Assumptions!$G$53*H8</f>
        <v/>
      </c>
      <c r="I18" s="23">
        <f>Assumptions!$G$53*I8</f>
        <v/>
      </c>
      <c r="J18" s="23">
        <f>Assumptions!$G$53*J8</f>
        <v/>
      </c>
      <c r="K18" s="23">
        <f>Assumptions!$G$53*K8</f>
        <v/>
      </c>
      <c r="L18" s="23">
        <f>Assumptions!$G$53*L8</f>
        <v/>
      </c>
      <c r="M18" s="12" t="inlineStr">
        <is>
          <t>Analyst estimate</t>
        </is>
      </c>
    </row>
    <row r="19">
      <c r="A19" s="9" t="inlineStr">
        <is>
          <t>DSO administration &amp; HQ</t>
        </is>
      </c>
      <c r="B19" s="8" t="inlineStr">
        <is>
          <t>AED m</t>
        </is>
      </c>
      <c r="C19" s="23">
        <f>Assumptions!$G$54*C8</f>
        <v/>
      </c>
      <c r="D19" s="23">
        <f>Assumptions!$G$54*D8</f>
        <v/>
      </c>
      <c r="E19" s="23">
        <f>Assumptions!$G$54*E8</f>
        <v/>
      </c>
      <c r="F19" s="23">
        <f>Assumptions!$G$54*F8</f>
        <v/>
      </c>
      <c r="G19" s="23">
        <f>Assumptions!$G$54*G8</f>
        <v/>
      </c>
      <c r="H19" s="23">
        <f>Assumptions!$G$54*H8</f>
        <v/>
      </c>
      <c r="I19" s="23">
        <f>Assumptions!$G$54*I8</f>
        <v/>
      </c>
      <c r="J19" s="23">
        <f>Assumptions!$G$54*J8</f>
        <v/>
      </c>
      <c r="K19" s="23">
        <f>Assumptions!$G$54*K8</f>
        <v/>
      </c>
      <c r="L19" s="23">
        <f>Assumptions!$G$54*L8</f>
        <v/>
      </c>
      <c r="M19" s="12" t="inlineStr">
        <is>
          <t>R4: Ireland admin €15.7m/yr scaled</t>
        </is>
      </c>
    </row>
    <row r="20">
      <c r="A20" s="9" t="inlineStr">
        <is>
          <t>Awareness campaigns</t>
        </is>
      </c>
      <c r="B20" s="8" t="inlineStr">
        <is>
          <t>AED m</t>
        </is>
      </c>
      <c r="C20" s="23">
        <f>IF(Market_Sizing!C6&lt;3,Assumptions!$G$55,Assumptions!$G$56)*C8</f>
        <v/>
      </c>
      <c r="D20" s="23">
        <f>IF(Market_Sizing!D6&lt;3,Assumptions!$G$55,Assumptions!$G$56)*D8</f>
        <v/>
      </c>
      <c r="E20" s="23">
        <f>IF(Market_Sizing!E6&lt;3,Assumptions!$G$55,Assumptions!$G$56)*E8</f>
        <v/>
      </c>
      <c r="F20" s="23">
        <f>IF(Market_Sizing!F6&lt;3,Assumptions!$G$55,Assumptions!$G$56)*F8</f>
        <v/>
      </c>
      <c r="G20" s="23">
        <f>IF(Market_Sizing!G6&lt;3,Assumptions!$G$55,Assumptions!$G$56)*G8</f>
        <v/>
      </c>
      <c r="H20" s="23">
        <f>IF(Market_Sizing!H6&lt;3,Assumptions!$G$55,Assumptions!$G$56)*H8</f>
        <v/>
      </c>
      <c r="I20" s="23">
        <f>IF(Market_Sizing!I6&lt;3,Assumptions!$G$55,Assumptions!$G$56)*I8</f>
        <v/>
      </c>
      <c r="J20" s="23">
        <f>IF(Market_Sizing!J6&lt;3,Assumptions!$G$55,Assumptions!$G$56)*J8</f>
        <v/>
      </c>
      <c r="K20" s="23">
        <f>IF(Market_Sizing!K6&lt;3,Assumptions!$G$55,Assumptions!$G$56)*K8</f>
        <v/>
      </c>
      <c r="L20" s="23">
        <f>IF(Market_Sizing!L6&lt;3,Assumptions!$G$55,Assumptions!$G$56)*L8</f>
        <v/>
      </c>
      <c r="M20" s="12" t="inlineStr">
        <is>
          <t>R4: Ireland marketing €4.6m yr-1</t>
        </is>
      </c>
    </row>
    <row r="21"/>
    <row r="22">
      <c r="A22" s="6" t="inlineStr">
        <is>
          <t>SEGEN OPERATIONS MANAGEMENT FEE (SPV cost line)</t>
        </is>
      </c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</row>
    <row r="23">
      <c r="A23" s="9" t="inlineStr">
        <is>
          <t>OMF - fixed component</t>
        </is>
      </c>
      <c r="B23" s="8" t="inlineStr">
        <is>
          <t>AED m</t>
        </is>
      </c>
      <c r="C23" s="23">
        <f>Assumptions!$G$57*C8</f>
        <v/>
      </c>
      <c r="D23" s="23">
        <f>Assumptions!$G$57*D8</f>
        <v/>
      </c>
      <c r="E23" s="23">
        <f>Assumptions!$G$57*E8</f>
        <v/>
      </c>
      <c r="F23" s="23">
        <f>Assumptions!$G$57*F8</f>
        <v/>
      </c>
      <c r="G23" s="23">
        <f>Assumptions!$G$57*G8</f>
        <v/>
      </c>
      <c r="H23" s="23">
        <f>Assumptions!$G$57*H8</f>
        <v/>
      </c>
      <c r="I23" s="23">
        <f>Assumptions!$G$57*I8</f>
        <v/>
      </c>
      <c r="J23" s="23">
        <f>Assumptions!$G$57*J8</f>
        <v/>
      </c>
      <c r="K23" s="23">
        <f>Assumptions!$G$57*K8</f>
        <v/>
      </c>
      <c r="L23" s="23">
        <f>Assumptions!$G$57*L8</f>
        <v/>
      </c>
      <c r="M23" s="12" t="inlineStr">
        <is>
          <t>Analyst estimate - Segen commercial model</t>
        </is>
      </c>
    </row>
    <row r="24">
      <c r="A24" s="9" t="inlineStr">
        <is>
          <t>OMF - material success fee</t>
        </is>
      </c>
      <c r="B24" s="8" t="inlineStr">
        <is>
          <t>AED m</t>
        </is>
      </c>
      <c r="C24" s="23">
        <f>Assumptions!$G$58*Revenue!C26</f>
        <v/>
      </c>
      <c r="D24" s="23">
        <f>Assumptions!$G$58*Revenue!D26</f>
        <v/>
      </c>
      <c r="E24" s="23">
        <f>Assumptions!$G$58*Revenue!E26</f>
        <v/>
      </c>
      <c r="F24" s="23">
        <f>Assumptions!$G$58*Revenue!F26</f>
        <v/>
      </c>
      <c r="G24" s="23">
        <f>Assumptions!$G$58*Revenue!G26</f>
        <v/>
      </c>
      <c r="H24" s="23">
        <f>Assumptions!$G$58*Revenue!H26</f>
        <v/>
      </c>
      <c r="I24" s="23">
        <f>Assumptions!$G$58*Revenue!I26</f>
        <v/>
      </c>
      <c r="J24" s="23">
        <f>Assumptions!$G$58*Revenue!J26</f>
        <v/>
      </c>
      <c r="K24" s="23">
        <f>Assumptions!$G$58*Revenue!K26</f>
        <v/>
      </c>
      <c r="L24" s="23">
        <f>Assumptions!$G$58*Revenue!L26</f>
        <v/>
      </c>
      <c r="M24" s="12" t="inlineStr">
        <is>
          <t>Share of material sales - aligns with material value, NOT deposits</t>
        </is>
      </c>
    </row>
    <row r="25">
      <c r="A25" s="3" t="inlineStr">
        <is>
          <t>OMF - total</t>
        </is>
      </c>
      <c r="B25" s="8" t="inlineStr">
        <is>
          <t>AED m</t>
        </is>
      </c>
      <c r="C25" s="17">
        <f>C23+C24</f>
        <v/>
      </c>
      <c r="D25" s="17">
        <f>D23+D24</f>
        <v/>
      </c>
      <c r="E25" s="17">
        <f>E23+E24</f>
        <v/>
      </c>
      <c r="F25" s="17">
        <f>F23+F24</f>
        <v/>
      </c>
      <c r="G25" s="17">
        <f>G23+G24</f>
        <v/>
      </c>
      <c r="H25" s="17">
        <f>H23+H24</f>
        <v/>
      </c>
      <c r="I25" s="17">
        <f>I23+I24</f>
        <v/>
      </c>
      <c r="J25" s="17">
        <f>J23+J24</f>
        <v/>
      </c>
      <c r="K25" s="17">
        <f>K23+K24</f>
        <v/>
      </c>
      <c r="L25" s="17">
        <f>L23+L24</f>
        <v/>
      </c>
      <c r="M25" s="12" t="inlineStr"/>
    </row>
    <row r="26"/>
    <row r="27">
      <c r="A27" s="3" t="inlineStr">
        <is>
          <t>TOTAL OPEX</t>
        </is>
      </c>
      <c r="B27" s="8" t="inlineStr">
        <is>
          <t>AED m</t>
        </is>
      </c>
      <c r="C27" s="17">
        <f>SUM(C11:C14)+SUM(C17:C20)+C25</f>
        <v/>
      </c>
      <c r="D27" s="17">
        <f>SUM(D11:D14)+SUM(D17:D20)+D25</f>
        <v/>
      </c>
      <c r="E27" s="17">
        <f>SUM(E11:E14)+SUM(E17:E20)+E25</f>
        <v/>
      </c>
      <c r="F27" s="17">
        <f>SUM(F11:F14)+SUM(F17:F20)+F25</f>
        <v/>
      </c>
      <c r="G27" s="17">
        <f>SUM(G11:G14)+SUM(G17:G20)+G25</f>
        <v/>
      </c>
      <c r="H27" s="17">
        <f>SUM(H11:H14)+SUM(H17:H20)+H25</f>
        <v/>
      </c>
      <c r="I27" s="17">
        <f>SUM(I11:I14)+SUM(I17:I20)+I25</f>
        <v/>
      </c>
      <c r="J27" s="17">
        <f>SUM(J11:J14)+SUM(J17:J20)+J25</f>
        <v/>
      </c>
      <c r="K27" s="17">
        <f>SUM(K11:K14)+SUM(K17:K20)+K25</f>
        <v/>
      </c>
      <c r="L27" s="17">
        <f>SUM(L11:L14)+SUM(L17:L20)+L25</f>
        <v/>
      </c>
    </row>
    <row r="28"/>
    <row r="29">
      <c r="A29" s="3" t="inlineStr">
        <is>
          <t>Cost per returned container</t>
        </is>
      </c>
      <c r="B29" s="8" t="inlineStr">
        <is>
          <t>AED</t>
        </is>
      </c>
      <c r="C29" s="15">
        <f>C27/(C7*1000)</f>
        <v/>
      </c>
      <c r="D29" s="15">
        <f>D27/(D7*1000)</f>
        <v/>
      </c>
      <c r="E29" s="15">
        <f>E27/(E7*1000)</f>
        <v/>
      </c>
      <c r="F29" s="15">
        <f>F27/(F7*1000)</f>
        <v/>
      </c>
      <c r="G29" s="15">
        <f>G27/(G7*1000)</f>
        <v/>
      </c>
      <c r="H29" s="15">
        <f>H27/(H7*1000)</f>
        <v/>
      </c>
      <c r="I29" s="15">
        <f>I27/(I7*1000)</f>
        <v/>
      </c>
      <c r="J29" s="15">
        <f>J27/(J7*1000)</f>
        <v/>
      </c>
      <c r="K29" s="15">
        <f>K27/(K7*1000)</f>
        <v/>
      </c>
      <c r="L29" s="15">
        <f>L27/(L7*1000)</f>
        <v/>
      </c>
    </row>
    <row r="30">
      <c r="A30" s="9" t="inlineStr">
        <is>
          <t>Cost per returned container (EUR memo)</t>
        </is>
      </c>
      <c r="B30" s="8" t="inlineStr">
        <is>
          <t>EUR</t>
        </is>
      </c>
      <c r="C30" s="27">
        <f>C29/Assumptions!$G$8</f>
        <v/>
      </c>
      <c r="D30" s="27">
        <f>D29/Assumptions!$G$8</f>
        <v/>
      </c>
      <c r="E30" s="27">
        <f>E29/Assumptions!$G$8</f>
        <v/>
      </c>
      <c r="F30" s="27">
        <f>F29/Assumptions!$G$8</f>
        <v/>
      </c>
      <c r="G30" s="27">
        <f>G29/Assumptions!$G$8</f>
        <v/>
      </c>
      <c r="H30" s="27">
        <f>H29/Assumptions!$G$8</f>
        <v/>
      </c>
      <c r="I30" s="27">
        <f>I29/Assumptions!$G$8</f>
        <v/>
      </c>
      <c r="J30" s="27">
        <f>J29/Assumptions!$G$8</f>
        <v/>
      </c>
      <c r="K30" s="27">
        <f>K29/Assumptions!$G$8</f>
        <v/>
      </c>
      <c r="L30" s="27">
        <f>L29/Assumptions!$G$8</f>
        <v/>
      </c>
    </row>
    <row r="31">
      <c r="A31" s="24" t="inlineStr">
        <is>
          <t>Benchmark: Ireland €0.053/container direct, €0.071 all-in (year 1, 2024 audited - R4).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32"/>
  <sheetViews>
    <sheetView showGridLines="0"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0" customWidth="1" min="1" max="1"/>
    <col width="8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46" customWidth="1" min="13" max="13"/>
  </cols>
  <sheetData>
    <row r="1">
      <c r="A1" s="1" t="inlineStr">
        <is>
          <t>Revenue - Producer Fees &amp; Material Sales (2028-2037)</t>
        </is>
      </c>
    </row>
    <row r="2">
      <c r="A2" s="2" t="inlineStr">
        <is>
          <t>AED millions. HARD RULE: unredeemed deposits are NEVER revenue - see memo line below and Deposit_Float sheet.</t>
        </is>
      </c>
    </row>
    <row r="3"/>
    <row r="4"/>
    <row r="5">
      <c r="A5" s="5" t="inlineStr">
        <is>
          <t>Line</t>
        </is>
      </c>
      <c r="B5" s="5" t="inlineStr">
        <is>
          <t>Unit</t>
        </is>
      </c>
      <c r="C5" s="5" t="n">
        <v>2028</v>
      </c>
      <c r="D5" s="5" t="n">
        <v>2029</v>
      </c>
      <c r="E5" s="5" t="n">
        <v>2030</v>
      </c>
      <c r="F5" s="5" t="n">
        <v>2031</v>
      </c>
      <c r="G5" s="5" t="n">
        <v>2032</v>
      </c>
      <c r="H5" s="5" t="n">
        <v>2033</v>
      </c>
      <c r="I5" s="5" t="n">
        <v>2034</v>
      </c>
      <c r="J5" s="5" t="n">
        <v>2035</v>
      </c>
      <c r="K5" s="5" t="n">
        <v>2036</v>
      </c>
      <c r="L5" s="5" t="n">
        <v>2037</v>
      </c>
      <c r="M5" s="5" t="inlineStr">
        <is>
          <t>Source</t>
        </is>
      </c>
    </row>
    <row r="6"/>
    <row r="7">
      <c r="A7" s="6" t="inlineStr">
        <is>
          <t>PRODUCER FEES (charged on ALL containers placed on market)</t>
        </is>
      </c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</row>
    <row r="8">
      <c r="A8" s="9" t="inlineStr">
        <is>
          <t>POM - PET</t>
        </is>
      </c>
      <c r="B8" s="8" t="inlineStr">
        <is>
          <t>bn</t>
        </is>
      </c>
      <c r="C8" s="22">
        <f>Market_Sizing!C11</f>
        <v/>
      </c>
      <c r="D8" s="22">
        <f>Market_Sizing!D11</f>
        <v/>
      </c>
      <c r="E8" s="22">
        <f>Market_Sizing!E11</f>
        <v/>
      </c>
      <c r="F8" s="22">
        <f>Market_Sizing!F11</f>
        <v/>
      </c>
      <c r="G8" s="22">
        <f>Market_Sizing!G11</f>
        <v/>
      </c>
      <c r="H8" s="22">
        <f>Market_Sizing!H11</f>
        <v/>
      </c>
      <c r="I8" s="22">
        <f>Market_Sizing!I11</f>
        <v/>
      </c>
      <c r="J8" s="22">
        <f>Market_Sizing!J11</f>
        <v/>
      </c>
      <c r="K8" s="22">
        <f>Market_Sizing!K11</f>
        <v/>
      </c>
      <c r="L8" s="22">
        <f>Market_Sizing!L11</f>
        <v/>
      </c>
      <c r="M8" s="12" t="inlineStr"/>
    </row>
    <row r="9">
      <c r="A9" s="9" t="inlineStr">
        <is>
          <t>POM - Aluminium</t>
        </is>
      </c>
      <c r="B9" s="8" t="inlineStr">
        <is>
          <t>bn</t>
        </is>
      </c>
      <c r="C9" s="22">
        <f>Market_Sizing!C12</f>
        <v/>
      </c>
      <c r="D9" s="22">
        <f>Market_Sizing!D12</f>
        <v/>
      </c>
      <c r="E9" s="22">
        <f>Market_Sizing!E12</f>
        <v/>
      </c>
      <c r="F9" s="22">
        <f>Market_Sizing!F12</f>
        <v/>
      </c>
      <c r="G9" s="22">
        <f>Market_Sizing!G12</f>
        <v/>
      </c>
      <c r="H9" s="22">
        <f>Market_Sizing!H12</f>
        <v/>
      </c>
      <c r="I9" s="22">
        <f>Market_Sizing!I12</f>
        <v/>
      </c>
      <c r="J9" s="22">
        <f>Market_Sizing!J12</f>
        <v/>
      </c>
      <c r="K9" s="22">
        <f>Market_Sizing!K12</f>
        <v/>
      </c>
      <c r="L9" s="22">
        <f>Market_Sizing!L12</f>
        <v/>
      </c>
      <c r="M9" s="12" t="inlineStr"/>
    </row>
    <row r="10">
      <c r="A10" s="9" t="inlineStr">
        <is>
          <t>POM - Glass</t>
        </is>
      </c>
      <c r="B10" s="8" t="inlineStr">
        <is>
          <t>bn</t>
        </is>
      </c>
      <c r="C10" s="22">
        <f>Market_Sizing!C13</f>
        <v/>
      </c>
      <c r="D10" s="22">
        <f>Market_Sizing!D13</f>
        <v/>
      </c>
      <c r="E10" s="22">
        <f>Market_Sizing!E13</f>
        <v/>
      </c>
      <c r="F10" s="22">
        <f>Market_Sizing!F13</f>
        <v/>
      </c>
      <c r="G10" s="22">
        <f>Market_Sizing!G13</f>
        <v/>
      </c>
      <c r="H10" s="22">
        <f>Market_Sizing!H13</f>
        <v/>
      </c>
      <c r="I10" s="22">
        <f>Market_Sizing!I13</f>
        <v/>
      </c>
      <c r="J10" s="22">
        <f>Market_Sizing!J13</f>
        <v/>
      </c>
      <c r="K10" s="22">
        <f>Market_Sizing!K13</f>
        <v/>
      </c>
      <c r="L10" s="22">
        <f>Market_Sizing!L13</f>
        <v/>
      </c>
      <c r="M10" s="12" t="inlineStr"/>
    </row>
    <row r="11">
      <c r="A11" s="9" t="inlineStr">
        <is>
          <t>Producer fees - PET</t>
        </is>
      </c>
      <c r="B11" s="8" t="inlineStr">
        <is>
          <t>AED m</t>
        </is>
      </c>
      <c r="C11" s="23">
        <f>C8*Assumptions!$G$60*1000*Market_Sizing!C8*IF(Market_Sizing!C6&gt;=3,Assumptions!$G$63,1)</f>
        <v/>
      </c>
      <c r="D11" s="23">
        <f>D8*Assumptions!$G$60*1000*Market_Sizing!D8*IF(Market_Sizing!D6&gt;=3,Assumptions!$G$63,1)</f>
        <v/>
      </c>
      <c r="E11" s="23">
        <f>E8*Assumptions!$G$60*1000*Market_Sizing!E8*IF(Market_Sizing!E6&gt;=3,Assumptions!$G$63,1)</f>
        <v/>
      </c>
      <c r="F11" s="23">
        <f>F8*Assumptions!$G$60*1000*Market_Sizing!F8*IF(Market_Sizing!F6&gt;=3,Assumptions!$G$63,1)</f>
        <v/>
      </c>
      <c r="G11" s="23">
        <f>G8*Assumptions!$G$60*1000*Market_Sizing!G8*IF(Market_Sizing!G6&gt;=3,Assumptions!$G$63,1)</f>
        <v/>
      </c>
      <c r="H11" s="23">
        <f>H8*Assumptions!$G$60*1000*Market_Sizing!H8*IF(Market_Sizing!H6&gt;=3,Assumptions!$G$63,1)</f>
        <v/>
      </c>
      <c r="I11" s="23">
        <f>I8*Assumptions!$G$60*1000*Market_Sizing!I8*IF(Market_Sizing!I6&gt;=3,Assumptions!$G$63,1)</f>
        <v/>
      </c>
      <c r="J11" s="23">
        <f>J8*Assumptions!$G$60*1000*Market_Sizing!J8*IF(Market_Sizing!J6&gt;=3,Assumptions!$G$63,1)</f>
        <v/>
      </c>
      <c r="K11" s="23">
        <f>K8*Assumptions!$G$60*1000*Market_Sizing!K8*IF(Market_Sizing!K6&gt;=3,Assumptions!$G$63,1)</f>
        <v/>
      </c>
      <c r="L11" s="23">
        <f>L8*Assumptions!$G$60*1000*Market_Sizing!L8*IF(Market_Sizing!L6&gt;=3,Assumptions!$G$63,1)</f>
        <v/>
      </c>
      <c r="M11" s="12" t="inlineStr">
        <is>
          <t>Calibrated; Lithuania PET €0.044 = AED 0.176 (R1)</t>
        </is>
      </c>
    </row>
    <row r="12">
      <c r="A12" s="9" t="inlineStr">
        <is>
          <t>Producer fees - Aluminium</t>
        </is>
      </c>
      <c r="B12" s="8" t="inlineStr">
        <is>
          <t>AED m</t>
        </is>
      </c>
      <c r="C12" s="23">
        <f>C9*Assumptions!$G$61*1000*Market_Sizing!C8*IF(Market_Sizing!C6&gt;=3,Assumptions!$G$63,1)</f>
        <v/>
      </c>
      <c r="D12" s="23">
        <f>D9*Assumptions!$G$61*1000*Market_Sizing!D8*IF(Market_Sizing!D6&gt;=3,Assumptions!$G$63,1)</f>
        <v/>
      </c>
      <c r="E12" s="23">
        <f>E9*Assumptions!$G$61*1000*Market_Sizing!E8*IF(Market_Sizing!E6&gt;=3,Assumptions!$G$63,1)</f>
        <v/>
      </c>
      <c r="F12" s="23">
        <f>F9*Assumptions!$G$61*1000*Market_Sizing!F8*IF(Market_Sizing!F6&gt;=3,Assumptions!$G$63,1)</f>
        <v/>
      </c>
      <c r="G12" s="23">
        <f>G9*Assumptions!$G$61*1000*Market_Sizing!G8*IF(Market_Sizing!G6&gt;=3,Assumptions!$G$63,1)</f>
        <v/>
      </c>
      <c r="H12" s="23">
        <f>H9*Assumptions!$G$61*1000*Market_Sizing!H8*IF(Market_Sizing!H6&gt;=3,Assumptions!$G$63,1)</f>
        <v/>
      </c>
      <c r="I12" s="23">
        <f>I9*Assumptions!$G$61*1000*Market_Sizing!I8*IF(Market_Sizing!I6&gt;=3,Assumptions!$G$63,1)</f>
        <v/>
      </c>
      <c r="J12" s="23">
        <f>J9*Assumptions!$G$61*1000*Market_Sizing!J8*IF(Market_Sizing!J6&gt;=3,Assumptions!$G$63,1)</f>
        <v/>
      </c>
      <c r="K12" s="23">
        <f>K9*Assumptions!$G$61*1000*Market_Sizing!K8*IF(Market_Sizing!K6&gt;=3,Assumptions!$G$63,1)</f>
        <v/>
      </c>
      <c r="L12" s="23">
        <f>L9*Assumptions!$G$61*1000*Market_Sizing!L8*IF(Market_Sizing!L6&gt;=3,Assumptions!$G$63,1)</f>
        <v/>
      </c>
      <c r="M12" s="12" t="inlineStr">
        <is>
          <t>Ireland €0.0125, Lithuania €0.019 (R1/R4)</t>
        </is>
      </c>
    </row>
    <row r="13">
      <c r="A13" s="9" t="inlineStr">
        <is>
          <t>Producer fees - Glass</t>
        </is>
      </c>
      <c r="B13" s="8" t="inlineStr">
        <is>
          <t>AED m</t>
        </is>
      </c>
      <c r="C13" s="23">
        <f>C10*Assumptions!$G$62*1000*Market_Sizing!C8*IF(Market_Sizing!C6&gt;=3,Assumptions!$G$63,1)</f>
        <v/>
      </c>
      <c r="D13" s="23">
        <f>D10*Assumptions!$G$62*1000*Market_Sizing!D8*IF(Market_Sizing!D6&gt;=3,Assumptions!$G$63,1)</f>
        <v/>
      </c>
      <c r="E13" s="23">
        <f>E10*Assumptions!$G$62*1000*Market_Sizing!E8*IF(Market_Sizing!E6&gt;=3,Assumptions!$G$63,1)</f>
        <v/>
      </c>
      <c r="F13" s="23">
        <f>F10*Assumptions!$G$62*1000*Market_Sizing!F8*IF(Market_Sizing!F6&gt;=3,Assumptions!$G$63,1)</f>
        <v/>
      </c>
      <c r="G13" s="23">
        <f>G10*Assumptions!$G$62*1000*Market_Sizing!G8*IF(Market_Sizing!G6&gt;=3,Assumptions!$G$63,1)</f>
        <v/>
      </c>
      <c r="H13" s="23">
        <f>H10*Assumptions!$G$62*1000*Market_Sizing!H8*IF(Market_Sizing!H6&gt;=3,Assumptions!$G$63,1)</f>
        <v/>
      </c>
      <c r="I13" s="23">
        <f>I10*Assumptions!$G$62*1000*Market_Sizing!I8*IF(Market_Sizing!I6&gt;=3,Assumptions!$G$63,1)</f>
        <v/>
      </c>
      <c r="J13" s="23">
        <f>J10*Assumptions!$G$62*1000*Market_Sizing!J8*IF(Market_Sizing!J6&gt;=3,Assumptions!$G$63,1)</f>
        <v/>
      </c>
      <c r="K13" s="23">
        <f>K10*Assumptions!$G$62*1000*Market_Sizing!K8*IF(Market_Sizing!K6&gt;=3,Assumptions!$G$63,1)</f>
        <v/>
      </c>
      <c r="L13" s="23">
        <f>L10*Assumptions!$G$62*1000*Market_Sizing!L8*IF(Market_Sizing!L6&gt;=3,Assumptions!$G$63,1)</f>
        <v/>
      </c>
      <c r="M13" s="12" t="inlineStr">
        <is>
          <t>Lithuania glass €0.055 = AED 0.22 (R1)</t>
        </is>
      </c>
    </row>
    <row r="14">
      <c r="A14" s="3" t="inlineStr">
        <is>
          <t>Producer fees - subtotal</t>
        </is>
      </c>
      <c r="B14" s="8" t="inlineStr">
        <is>
          <t>AED m</t>
        </is>
      </c>
      <c r="C14" s="17">
        <f>C11+C12+C13</f>
        <v/>
      </c>
      <c r="D14" s="17">
        <f>D11+D12+D13</f>
        <v/>
      </c>
      <c r="E14" s="17">
        <f>E11+E12+E13</f>
        <v/>
      </c>
      <c r="F14" s="17">
        <f>F11+F12+F13</f>
        <v/>
      </c>
      <c r="G14" s="17">
        <f>G11+G12+G13</f>
        <v/>
      </c>
      <c r="H14" s="17">
        <f>H11+H12+H13</f>
        <v/>
      </c>
      <c r="I14" s="17">
        <f>I11+I12+I13</f>
        <v/>
      </c>
      <c r="J14" s="17">
        <f>J11+J12+J13</f>
        <v/>
      </c>
      <c r="K14" s="17">
        <f>K11+K12+K13</f>
        <v/>
      </c>
      <c r="L14" s="17">
        <f>L11+L12+L13</f>
        <v/>
      </c>
      <c r="M14" s="12" t="inlineStr"/>
    </row>
    <row r="15"/>
    <row r="16">
      <c r="A16" s="6" t="inlineStr">
        <is>
          <t>MATERIAL SALES (recovered tonnage x commodity price)</t>
        </is>
      </c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</row>
    <row r="17">
      <c r="A17" s="9" t="inlineStr">
        <is>
          <t>PET tonnage sold</t>
        </is>
      </c>
      <c r="B17" s="8" t="inlineStr">
        <is>
          <t>t</t>
        </is>
      </c>
      <c r="C17" s="23">
        <f>Market_Sizing!C24</f>
        <v/>
      </c>
      <c r="D17" s="23">
        <f>Market_Sizing!D24</f>
        <v/>
      </c>
      <c r="E17" s="23">
        <f>Market_Sizing!E24</f>
        <v/>
      </c>
      <c r="F17" s="23">
        <f>Market_Sizing!F24</f>
        <v/>
      </c>
      <c r="G17" s="23">
        <f>Market_Sizing!G24</f>
        <v/>
      </c>
      <c r="H17" s="23">
        <f>Market_Sizing!H24</f>
        <v/>
      </c>
      <c r="I17" s="23">
        <f>Market_Sizing!I24</f>
        <v/>
      </c>
      <c r="J17" s="23">
        <f>Market_Sizing!J24</f>
        <v/>
      </c>
      <c r="K17" s="23">
        <f>Market_Sizing!K24</f>
        <v/>
      </c>
      <c r="L17" s="23">
        <f>Market_Sizing!L24</f>
        <v/>
      </c>
      <c r="M17" s="12" t="inlineStr"/>
    </row>
    <row r="18">
      <c r="A18" s="9" t="inlineStr">
        <is>
          <t>Aluminium tonnage sold</t>
        </is>
      </c>
      <c r="B18" s="8" t="inlineStr">
        <is>
          <t>t</t>
        </is>
      </c>
      <c r="C18" s="23">
        <f>Market_Sizing!C25</f>
        <v/>
      </c>
      <c r="D18" s="23">
        <f>Market_Sizing!D25</f>
        <v/>
      </c>
      <c r="E18" s="23">
        <f>Market_Sizing!E25</f>
        <v/>
      </c>
      <c r="F18" s="23">
        <f>Market_Sizing!F25</f>
        <v/>
      </c>
      <c r="G18" s="23">
        <f>Market_Sizing!G25</f>
        <v/>
      </c>
      <c r="H18" s="23">
        <f>Market_Sizing!H25</f>
        <v/>
      </c>
      <c r="I18" s="23">
        <f>Market_Sizing!I25</f>
        <v/>
      </c>
      <c r="J18" s="23">
        <f>Market_Sizing!J25</f>
        <v/>
      </c>
      <c r="K18" s="23">
        <f>Market_Sizing!K25</f>
        <v/>
      </c>
      <c r="L18" s="23">
        <f>Market_Sizing!L25</f>
        <v/>
      </c>
      <c r="M18" s="12" t="inlineStr"/>
    </row>
    <row r="19">
      <c r="A19" s="9" t="inlineStr">
        <is>
          <t>Glass tonnage sold</t>
        </is>
      </c>
      <c r="B19" s="8" t="inlineStr">
        <is>
          <t>t</t>
        </is>
      </c>
      <c r="C19" s="23">
        <f>Market_Sizing!C26</f>
        <v/>
      </c>
      <c r="D19" s="23">
        <f>Market_Sizing!D26</f>
        <v/>
      </c>
      <c r="E19" s="23">
        <f>Market_Sizing!E26</f>
        <v/>
      </c>
      <c r="F19" s="23">
        <f>Market_Sizing!F26</f>
        <v/>
      </c>
      <c r="G19" s="23">
        <f>Market_Sizing!G26</f>
        <v/>
      </c>
      <c r="H19" s="23">
        <f>Market_Sizing!H26</f>
        <v/>
      </c>
      <c r="I19" s="23">
        <f>Market_Sizing!I26</f>
        <v/>
      </c>
      <c r="J19" s="23">
        <f>Market_Sizing!J26</f>
        <v/>
      </c>
      <c r="K19" s="23">
        <f>Market_Sizing!K26</f>
        <v/>
      </c>
      <c r="L19" s="23">
        <f>Market_Sizing!L26</f>
        <v/>
      </c>
      <c r="M19" s="12" t="inlineStr"/>
    </row>
    <row r="20">
      <c r="A20" s="9" t="inlineStr">
        <is>
          <t>Price - rPET (AED/t)</t>
        </is>
      </c>
      <c r="B20" s="8" t="inlineStr">
        <is>
          <t>AED/t</t>
        </is>
      </c>
      <c r="C20" s="23">
        <f>Assumptions!$G$64*Assumptions!$G$7</f>
        <v/>
      </c>
      <c r="D20" s="23">
        <f>Assumptions!$G$64*Assumptions!$G$7</f>
        <v/>
      </c>
      <c r="E20" s="23">
        <f>Assumptions!$G$64*Assumptions!$G$7</f>
        <v/>
      </c>
      <c r="F20" s="23">
        <f>Assumptions!$G$64*Assumptions!$G$7</f>
        <v/>
      </c>
      <c r="G20" s="23">
        <f>Assumptions!$G$64*Assumptions!$G$7</f>
        <v/>
      </c>
      <c r="H20" s="23">
        <f>Assumptions!$G$64*Assumptions!$G$7</f>
        <v/>
      </c>
      <c r="I20" s="23">
        <f>Assumptions!$G$64*Assumptions!$G$7</f>
        <v/>
      </c>
      <c r="J20" s="23">
        <f>Assumptions!$G$64*Assumptions!$G$7</f>
        <v/>
      </c>
      <c r="K20" s="23">
        <f>Assumptions!$G$64*Assumptions!$G$7</f>
        <v/>
      </c>
      <c r="L20" s="23">
        <f>Assumptions!$G$64*Assumptions!$G$7</f>
        <v/>
      </c>
      <c r="M20" s="12" t="inlineStr">
        <is>
          <t>R4: $1,100-2,100/t; DRS bale premium 15-25%</t>
        </is>
      </c>
    </row>
    <row r="21">
      <c r="A21" s="9" t="inlineStr">
        <is>
          <t>Price - UBC (AED/t)</t>
        </is>
      </c>
      <c r="B21" s="8" t="inlineStr">
        <is>
          <t>AED/t</t>
        </is>
      </c>
      <c r="C21" s="23">
        <f>Assumptions!$G$65*Assumptions!$G$7</f>
        <v/>
      </c>
      <c r="D21" s="23">
        <f>Assumptions!$G$65*Assumptions!$G$7</f>
        <v/>
      </c>
      <c r="E21" s="23">
        <f>Assumptions!$G$65*Assumptions!$G$7</f>
        <v/>
      </c>
      <c r="F21" s="23">
        <f>Assumptions!$G$65*Assumptions!$G$7</f>
        <v/>
      </c>
      <c r="G21" s="23">
        <f>Assumptions!$G$65*Assumptions!$G$7</f>
        <v/>
      </c>
      <c r="H21" s="23">
        <f>Assumptions!$G$65*Assumptions!$G$7</f>
        <v/>
      </c>
      <c r="I21" s="23">
        <f>Assumptions!$G$65*Assumptions!$G$7</f>
        <v/>
      </c>
      <c r="J21" s="23">
        <f>Assumptions!$G$65*Assumptions!$G$7</f>
        <v/>
      </c>
      <c r="K21" s="23">
        <f>Assumptions!$G$65*Assumptions!$G$7</f>
        <v/>
      </c>
      <c r="L21" s="23">
        <f>Assumptions!$G$65*Assumptions!$G$7</f>
        <v/>
      </c>
      <c r="M21" s="12" t="inlineStr">
        <is>
          <t>R4: $1,200-2,050/t</t>
        </is>
      </c>
    </row>
    <row r="22">
      <c r="A22" s="9" t="inlineStr">
        <is>
          <t>Price - cullet (AED/t)</t>
        </is>
      </c>
      <c r="B22" s="8" t="inlineStr">
        <is>
          <t>AED/t</t>
        </is>
      </c>
      <c r="C22" s="23">
        <f>Assumptions!$G$66</f>
        <v/>
      </c>
      <c r="D22" s="23">
        <f>Assumptions!$G$66</f>
        <v/>
      </c>
      <c r="E22" s="23">
        <f>Assumptions!$G$66</f>
        <v/>
      </c>
      <c r="F22" s="23">
        <f>Assumptions!$G$66</f>
        <v/>
      </c>
      <c r="G22" s="23">
        <f>Assumptions!$G$66</f>
        <v/>
      </c>
      <c r="H22" s="23">
        <f>Assumptions!$G$66</f>
        <v/>
      </c>
      <c r="I22" s="23">
        <f>Assumptions!$G$66</f>
        <v/>
      </c>
      <c r="J22" s="23">
        <f>Assumptions!$G$66</f>
        <v/>
      </c>
      <c r="K22" s="23">
        <f>Assumptions!$G$66</f>
        <v/>
      </c>
      <c r="L22" s="23">
        <f>Assumptions!$G$66</f>
        <v/>
      </c>
      <c r="M22" s="12" t="inlineStr">
        <is>
          <t>R4: EU cullet €100-150/t</t>
        </is>
      </c>
    </row>
    <row r="23">
      <c r="A23" s="9" t="inlineStr">
        <is>
          <t>Material revenue - rPET</t>
        </is>
      </c>
      <c r="B23" s="8" t="inlineStr">
        <is>
          <t>AED m</t>
        </is>
      </c>
      <c r="C23" s="23">
        <f>C17*C20/1000000</f>
        <v/>
      </c>
      <c r="D23" s="23">
        <f>D17*D20/1000000</f>
        <v/>
      </c>
      <c r="E23" s="23">
        <f>E17*E20/1000000</f>
        <v/>
      </c>
      <c r="F23" s="23">
        <f>F17*F20/1000000</f>
        <v/>
      </c>
      <c r="G23" s="23">
        <f>G17*G20/1000000</f>
        <v/>
      </c>
      <c r="H23" s="23">
        <f>H17*H20/1000000</f>
        <v/>
      </c>
      <c r="I23" s="23">
        <f>I17*I20/1000000</f>
        <v/>
      </c>
      <c r="J23" s="23">
        <f>J17*J20/1000000</f>
        <v/>
      </c>
      <c r="K23" s="23">
        <f>K17*K20/1000000</f>
        <v/>
      </c>
      <c r="L23" s="23">
        <f>L17*L20/1000000</f>
        <v/>
      </c>
      <c r="M23" s="12" t="inlineStr"/>
    </row>
    <row r="24">
      <c r="A24" s="9" t="inlineStr">
        <is>
          <t>Material revenue - UBC</t>
        </is>
      </c>
      <c r="B24" s="8" t="inlineStr">
        <is>
          <t>AED m</t>
        </is>
      </c>
      <c r="C24" s="23">
        <f>C18*C21/1000000</f>
        <v/>
      </c>
      <c r="D24" s="23">
        <f>D18*D21/1000000</f>
        <v/>
      </c>
      <c r="E24" s="23">
        <f>E18*E21/1000000</f>
        <v/>
      </c>
      <c r="F24" s="23">
        <f>F18*F21/1000000</f>
        <v/>
      </c>
      <c r="G24" s="23">
        <f>G18*G21/1000000</f>
        <v/>
      </c>
      <c r="H24" s="23">
        <f>H18*H21/1000000</f>
        <v/>
      </c>
      <c r="I24" s="23">
        <f>I18*I21/1000000</f>
        <v/>
      </c>
      <c r="J24" s="23">
        <f>J18*J21/1000000</f>
        <v/>
      </c>
      <c r="K24" s="23">
        <f>K18*K21/1000000</f>
        <v/>
      </c>
      <c r="L24" s="23">
        <f>L18*L21/1000000</f>
        <v/>
      </c>
      <c r="M24" s="12" t="inlineStr"/>
    </row>
    <row r="25">
      <c r="A25" s="9" t="inlineStr">
        <is>
          <t>Material revenue - cullet</t>
        </is>
      </c>
      <c r="B25" s="8" t="inlineStr">
        <is>
          <t>AED m</t>
        </is>
      </c>
      <c r="C25" s="23">
        <f>C19*C22/1000000</f>
        <v/>
      </c>
      <c r="D25" s="23">
        <f>D19*D22/1000000</f>
        <v/>
      </c>
      <c r="E25" s="23">
        <f>E19*E22/1000000</f>
        <v/>
      </c>
      <c r="F25" s="23">
        <f>F19*F22/1000000</f>
        <v/>
      </c>
      <c r="G25" s="23">
        <f>G19*G22/1000000</f>
        <v/>
      </c>
      <c r="H25" s="23">
        <f>H19*H22/1000000</f>
        <v/>
      </c>
      <c r="I25" s="23">
        <f>I19*I22/1000000</f>
        <v/>
      </c>
      <c r="J25" s="23">
        <f>J19*J22/1000000</f>
        <v/>
      </c>
      <c r="K25" s="23">
        <f>K19*K22/1000000</f>
        <v/>
      </c>
      <c r="L25" s="23">
        <f>L19*L22/1000000</f>
        <v/>
      </c>
      <c r="M25" s="12" t="inlineStr"/>
    </row>
    <row r="26">
      <c r="A26" s="3" t="inlineStr">
        <is>
          <t>Material sales - subtotal</t>
        </is>
      </c>
      <c r="B26" s="8" t="inlineStr">
        <is>
          <t>AED m</t>
        </is>
      </c>
      <c r="C26" s="17">
        <f>C23+C24+C25</f>
        <v/>
      </c>
      <c r="D26" s="17">
        <f>D23+D24+D25</f>
        <v/>
      </c>
      <c r="E26" s="17">
        <f>E23+E24+E25</f>
        <v/>
      </c>
      <c r="F26" s="17">
        <f>F23+F24+F25</f>
        <v/>
      </c>
      <c r="G26" s="17">
        <f>G23+G24+G25</f>
        <v/>
      </c>
      <c r="H26" s="17">
        <f>H23+H24+H25</f>
        <v/>
      </c>
      <c r="I26" s="17">
        <f>I23+I24+I25</f>
        <v/>
      </c>
      <c r="J26" s="17">
        <f>J23+J24+J25</f>
        <v/>
      </c>
      <c r="K26" s="17">
        <f>K23+K24+K25</f>
        <v/>
      </c>
      <c r="L26" s="17">
        <f>L23+L24+L25</f>
        <v/>
      </c>
      <c r="M26" s="12" t="inlineStr">
        <is>
          <t>Held flat in real terms (conservative)</t>
        </is>
      </c>
    </row>
    <row r="27"/>
    <row r="28">
      <c r="A28" s="3" t="inlineStr">
        <is>
          <t>TOTAL REVENUE</t>
        </is>
      </c>
      <c r="B28" s="8" t="inlineStr">
        <is>
          <t>AED m</t>
        </is>
      </c>
      <c r="C28" s="17">
        <f>C14+C26</f>
        <v/>
      </c>
      <c r="D28" s="17">
        <f>D14+D26</f>
        <v/>
      </c>
      <c r="E28" s="17">
        <f>E14+E26</f>
        <v/>
      </c>
      <c r="F28" s="17">
        <f>F14+F26</f>
        <v/>
      </c>
      <c r="G28" s="17">
        <f>G14+G26</f>
        <v/>
      </c>
      <c r="H28" s="17">
        <f>H14+H26</f>
        <v/>
      </c>
      <c r="I28" s="17">
        <f>I14+I26</f>
        <v/>
      </c>
      <c r="J28" s="17">
        <f>J14+J26</f>
        <v/>
      </c>
      <c r="K28" s="17">
        <f>K14+K26</f>
        <v/>
      </c>
      <c r="L28" s="17">
        <f>L14+L26</f>
        <v/>
      </c>
    </row>
    <row r="29"/>
    <row r="30">
      <c r="A30" s="6" t="inlineStr">
        <is>
          <t>MEMO - EXCLUDED FROM REVENUE (Segen commitment)</t>
        </is>
      </c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</row>
    <row r="31">
      <c r="A31" s="9" t="inlineStr">
        <is>
          <t>Unredeemed deposits (escrowed, NOT revenue)</t>
        </is>
      </c>
      <c r="B31" s="8" t="inlineStr">
        <is>
          <t>AED m</t>
        </is>
      </c>
      <c r="C31" s="23">
        <f>Deposit_Float!C9</f>
        <v/>
      </c>
      <c r="D31" s="23">
        <f>Deposit_Float!D9</f>
        <v/>
      </c>
      <c r="E31" s="23">
        <f>Deposit_Float!E9</f>
        <v/>
      </c>
      <c r="F31" s="23">
        <f>Deposit_Float!F9</f>
        <v/>
      </c>
      <c r="G31" s="23">
        <f>Deposit_Float!G9</f>
        <v/>
      </c>
      <c r="H31" s="23">
        <f>Deposit_Float!H9</f>
        <v/>
      </c>
      <c r="I31" s="23">
        <f>Deposit_Float!I9</f>
        <v/>
      </c>
      <c r="J31" s="23">
        <f>Deposit_Float!J9</f>
        <v/>
      </c>
      <c r="K31" s="23">
        <f>Deposit_Float!K9</f>
        <v/>
      </c>
      <c r="L31" s="23">
        <f>Deposit_Float!L9</f>
        <v/>
      </c>
      <c r="M31" s="12" t="inlineStr">
        <is>
          <t>Pass-through liabilities; escrow / system reserve</t>
        </is>
      </c>
    </row>
    <row r="32">
      <c r="A32" s="24" t="inlineStr">
        <is>
          <t>Deposit funds move between producers, retailers, consumers and the system administrator - never operator revenue (Project Description, R5 §A.4).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4"/>
  <sheetViews>
    <sheetView showGridLines="0"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6" customWidth="1" min="1" max="1"/>
    <col width="8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52" customWidth="1" min="13" max="13"/>
  </cols>
  <sheetData>
    <row r="1">
      <c r="A1" s="1" t="inlineStr">
        <is>
          <t>Deposit Float - MEMO ONLY (Pass-Through Liabilities, Never Revenue)</t>
        </is>
      </c>
    </row>
    <row r="2">
      <c r="A2" s="2" t="inlineStr">
        <is>
          <t>AED millions. Deposits are consumer money in transit: collected on POM, refunded on returns. Unredeemed balances are escrowed system reserves per Segen's pledge.</t>
        </is>
      </c>
    </row>
    <row r="3"/>
    <row r="4"/>
    <row r="5">
      <c r="A5" s="5" t="inlineStr">
        <is>
          <t>Line</t>
        </is>
      </c>
      <c r="B5" s="5" t="inlineStr">
        <is>
          <t>Unit</t>
        </is>
      </c>
      <c r="C5" s="5" t="n">
        <v>2028</v>
      </c>
      <c r="D5" s="5" t="n">
        <v>2029</v>
      </c>
      <c r="E5" s="5" t="n">
        <v>2030</v>
      </c>
      <c r="F5" s="5" t="n">
        <v>2031</v>
      </c>
      <c r="G5" s="5" t="n">
        <v>2032</v>
      </c>
      <c r="H5" s="5" t="n">
        <v>2033</v>
      </c>
      <c r="I5" s="5" t="n">
        <v>2034</v>
      </c>
      <c r="J5" s="5" t="n">
        <v>2035</v>
      </c>
      <c r="K5" s="5" t="n">
        <v>2036</v>
      </c>
      <c r="L5" s="5" t="n">
        <v>2037</v>
      </c>
      <c r="M5" s="5" t="inlineStr">
        <is>
          <t>Note</t>
        </is>
      </c>
    </row>
    <row r="6"/>
    <row r="7">
      <c r="A7" s="9" t="inlineStr">
        <is>
          <t>Deposits collected (POM x deposit)</t>
        </is>
      </c>
      <c r="B7" s="8" t="inlineStr">
        <is>
          <t>AED m</t>
        </is>
      </c>
      <c r="C7" s="23">
        <f>Market_Sizing!C14*Assumptions!$G$13*1000</f>
        <v/>
      </c>
      <c r="D7" s="23">
        <f>Market_Sizing!D14*Assumptions!$G$13*1000</f>
        <v/>
      </c>
      <c r="E7" s="23">
        <f>Market_Sizing!E14*Assumptions!$G$13*1000</f>
        <v/>
      </c>
      <c r="F7" s="23">
        <f>Market_Sizing!F14*Assumptions!$G$13*1000</f>
        <v/>
      </c>
      <c r="G7" s="23">
        <f>Market_Sizing!G14*Assumptions!$G$13*1000</f>
        <v/>
      </c>
      <c r="H7" s="23">
        <f>Market_Sizing!H14*Assumptions!$G$13*1000</f>
        <v/>
      </c>
      <c r="I7" s="23">
        <f>Market_Sizing!I14*Assumptions!$G$13*1000</f>
        <v/>
      </c>
      <c r="J7" s="23">
        <f>Market_Sizing!J14*Assumptions!$G$13*1000</f>
        <v/>
      </c>
      <c r="K7" s="23">
        <f>Market_Sizing!K14*Assumptions!$G$13*1000</f>
        <v/>
      </c>
      <c r="L7" s="23">
        <f>Market_Sizing!L14*Assumptions!$G$13*1000</f>
        <v/>
      </c>
      <c r="M7" s="12" t="inlineStr">
        <is>
          <t>Gross annual float - survey: AED 0.75-1.08bn at AED 0.25 (R5)</t>
        </is>
      </c>
    </row>
    <row r="8">
      <c r="A8" s="9" t="inlineStr">
        <is>
          <t>Deposits refunded (returns x deposit)</t>
        </is>
      </c>
      <c r="B8" s="8" t="inlineStr">
        <is>
          <t>AED m</t>
        </is>
      </c>
      <c r="C8" s="23">
        <f>Market_Sizing!C21*Assumptions!$G$13*1000</f>
        <v/>
      </c>
      <c r="D8" s="23">
        <f>Market_Sizing!D21*Assumptions!$G$13*1000</f>
        <v/>
      </c>
      <c r="E8" s="23">
        <f>Market_Sizing!E21*Assumptions!$G$13*1000</f>
        <v/>
      </c>
      <c r="F8" s="23">
        <f>Market_Sizing!F21*Assumptions!$G$13*1000</f>
        <v/>
      </c>
      <c r="G8" s="23">
        <f>Market_Sizing!G21*Assumptions!$G$13*1000</f>
        <v/>
      </c>
      <c r="H8" s="23">
        <f>Market_Sizing!H21*Assumptions!$G$13*1000</f>
        <v/>
      </c>
      <c r="I8" s="23">
        <f>Market_Sizing!I21*Assumptions!$G$13*1000</f>
        <v/>
      </c>
      <c r="J8" s="23">
        <f>Market_Sizing!J21*Assumptions!$G$13*1000</f>
        <v/>
      </c>
      <c r="K8" s="23">
        <f>Market_Sizing!K21*Assumptions!$G$13*1000</f>
        <v/>
      </c>
      <c r="L8" s="23">
        <f>Market_Sizing!L21*Assumptions!$G$13*1000</f>
        <v/>
      </c>
      <c r="M8" s="12" t="inlineStr"/>
    </row>
    <row r="9">
      <c r="A9" s="3" t="inlineStr">
        <is>
          <t>Unredeemed deposits (annual)</t>
        </is>
      </c>
      <c r="B9" s="8" t="inlineStr">
        <is>
          <t>AED m</t>
        </is>
      </c>
      <c r="C9" s="17">
        <f>C7-C8</f>
        <v/>
      </c>
      <c r="D9" s="17">
        <f>D7-D8</f>
        <v/>
      </c>
      <c r="E9" s="17">
        <f>E7-E8</f>
        <v/>
      </c>
      <c r="F9" s="17">
        <f>F7-F8</f>
        <v/>
      </c>
      <c r="G9" s="17">
        <f>G7-G8</f>
        <v/>
      </c>
      <c r="H9" s="17">
        <f>H7-H8</f>
        <v/>
      </c>
      <c r="I9" s="17">
        <f>I7-I8</f>
        <v/>
      </c>
      <c r="J9" s="17">
        <f>J7-J8</f>
        <v/>
      </c>
      <c r="K9" s="17">
        <f>K7-K8</f>
        <v/>
      </c>
      <c r="L9" s="17">
        <f>L7-L8</f>
        <v/>
      </c>
      <c r="M9" s="12" t="inlineStr">
        <is>
          <t>Escrow / statutory reserve - NOT operator income</t>
        </is>
      </c>
    </row>
    <row r="10">
      <c r="A10" s="9" t="inlineStr">
        <is>
          <t>Cumulative escrowed reserve</t>
        </is>
      </c>
      <c r="B10" s="8" t="inlineStr">
        <is>
          <t>AED m</t>
        </is>
      </c>
      <c r="C10" s="23">
        <f>C9</f>
        <v/>
      </c>
      <c r="D10" s="23">
        <f>C10+D9</f>
        <v/>
      </c>
      <c r="E10" s="23">
        <f>D10+E9</f>
        <v/>
      </c>
      <c r="F10" s="23">
        <f>E10+F9</f>
        <v/>
      </c>
      <c r="G10" s="23">
        <f>F10+G9</f>
        <v/>
      </c>
      <c r="H10" s="23">
        <f>G10+H9</f>
        <v/>
      </c>
      <c r="I10" s="23">
        <f>H10+I9</f>
        <v/>
      </c>
      <c r="J10" s="23">
        <f>I10+J9</f>
        <v/>
      </c>
      <c r="K10" s="23">
        <f>J10+K9</f>
        <v/>
      </c>
      <c r="L10" s="23">
        <f>K10+L9</f>
        <v/>
      </c>
      <c r="M10" s="12" t="inlineStr">
        <is>
          <t>Builds contingency reserve (Ireland precedent, R4)</t>
        </is>
      </c>
    </row>
    <row r="11">
      <c r="A11" s="9" t="inlineStr">
        <is>
          <t>Outstanding refund liability (~2 months in circulation)</t>
        </is>
      </c>
      <c r="B11" s="8" t="inlineStr">
        <is>
          <t>AED m</t>
        </is>
      </c>
      <c r="C11" s="23">
        <f>C7/6</f>
        <v/>
      </c>
      <c r="D11" s="23">
        <f>D7/6</f>
        <v/>
      </c>
      <c r="E11" s="23">
        <f>E7/6</f>
        <v/>
      </c>
      <c r="F11" s="23">
        <f>F7/6</f>
        <v/>
      </c>
      <c r="G11" s="23">
        <f>G7/6</f>
        <v/>
      </c>
      <c r="H11" s="23">
        <f>H7/6</f>
        <v/>
      </c>
      <c r="I11" s="23">
        <f>I7/6</f>
        <v/>
      </c>
      <c r="J11" s="23">
        <f>J7/6</f>
        <v/>
      </c>
      <c r="K11" s="23">
        <f>K7/6</f>
        <v/>
      </c>
      <c r="L11" s="23">
        <f>L7/6</f>
        <v/>
      </c>
      <c r="M11" s="12" t="inlineStr">
        <is>
          <t>Analyst estimate - pipeline float</t>
        </is>
      </c>
    </row>
    <row r="12"/>
    <row r="13">
      <c r="A13" s="24" t="inlineStr">
        <is>
          <t>Survey cross-check: AED 0.25 deposit over 3.0-4.3bn units = AED 0.75-1.08bn gross annual float (R5). Base year-1 collected ≈ AED 0.94bn - consistent.</t>
        </is>
      </c>
    </row>
    <row r="14">
      <c r="A14" s="24" t="inlineStr">
        <is>
          <t>Governance options (R4 §1.7): Slovakia transparent account (system development only); Portugal: excess above 90% target transfers to state Environment Fund.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28"/>
  <sheetViews>
    <sheetView showGridLines="0"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6" customWidth="1" min="1" max="1"/>
    <col width="8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>
      <c r="A1" s="1" t="inlineStr">
        <is>
          <t>System Operator SPV - Profit &amp; Loss (2026-2037)</t>
        </is>
      </c>
    </row>
    <row r="2">
      <c r="A2" s="2" t="inlineStr">
        <is>
          <t>AED millions. Financing: 60% debt / 40% equity (green-loan precedent: RetuRO €85-90m ING). UAE CT 9% on positive pre-tax income; no loss carry-forward (conservative).</t>
        </is>
      </c>
    </row>
    <row r="3"/>
    <row r="4"/>
    <row r="5">
      <c r="A5" s="5" t="inlineStr">
        <is>
          <t>Line</t>
        </is>
      </c>
      <c r="B5" s="5" t="inlineStr">
        <is>
          <t>Unit</t>
        </is>
      </c>
      <c r="C5" s="5" t="n">
        <v>2026</v>
      </c>
      <c r="D5" s="5" t="n">
        <v>2027</v>
      </c>
      <c r="E5" s="5" t="n">
        <v>2028</v>
      </c>
      <c r="F5" s="5" t="n">
        <v>2029</v>
      </c>
      <c r="G5" s="5" t="n">
        <v>2030</v>
      </c>
      <c r="H5" s="5" t="n">
        <v>2031</v>
      </c>
      <c r="I5" s="5" t="n">
        <v>2032</v>
      </c>
      <c r="J5" s="5" t="n">
        <v>2033</v>
      </c>
      <c r="K5" s="5" t="n">
        <v>2034</v>
      </c>
      <c r="L5" s="5" t="n">
        <v>2035</v>
      </c>
      <c r="M5" s="5" t="n">
        <v>2036</v>
      </c>
      <c r="N5" s="5" t="n">
        <v>2037</v>
      </c>
    </row>
    <row r="6"/>
    <row r="7">
      <c r="A7" s="9" t="inlineStr">
        <is>
          <t>Revenue</t>
        </is>
      </c>
      <c r="B7" s="8" t="inlineStr">
        <is>
          <t>AED m</t>
        </is>
      </c>
      <c r="C7" s="23">
        <f>0</f>
        <v/>
      </c>
      <c r="D7" s="23">
        <f>0</f>
        <v/>
      </c>
      <c r="E7" s="23">
        <f>Revenue!C28</f>
        <v/>
      </c>
      <c r="F7" s="23">
        <f>Revenue!D28</f>
        <v/>
      </c>
      <c r="G7" s="23">
        <f>Revenue!E28</f>
        <v/>
      </c>
      <c r="H7" s="23">
        <f>Revenue!F28</f>
        <v/>
      </c>
      <c r="I7" s="23">
        <f>Revenue!G28</f>
        <v/>
      </c>
      <c r="J7" s="23">
        <f>Revenue!H28</f>
        <v/>
      </c>
      <c r="K7" s="23">
        <f>Revenue!I28</f>
        <v/>
      </c>
      <c r="L7" s="23">
        <f>Revenue!J28</f>
        <v/>
      </c>
      <c r="M7" s="23">
        <f>Revenue!K28</f>
        <v/>
      </c>
      <c r="N7" s="23">
        <f>Revenue!L28</f>
        <v/>
      </c>
    </row>
    <row r="8">
      <c r="A8" s="9" t="inlineStr">
        <is>
          <t>OPEX</t>
        </is>
      </c>
      <c r="B8" s="8" t="inlineStr">
        <is>
          <t>AED m</t>
        </is>
      </c>
      <c r="C8" s="23">
        <f>0</f>
        <v/>
      </c>
      <c r="D8" s="23">
        <f>0</f>
        <v/>
      </c>
      <c r="E8" s="23">
        <f>OPEX!C27</f>
        <v/>
      </c>
      <c r="F8" s="23">
        <f>OPEX!D27</f>
        <v/>
      </c>
      <c r="G8" s="23">
        <f>OPEX!E27</f>
        <v/>
      </c>
      <c r="H8" s="23">
        <f>OPEX!F27</f>
        <v/>
      </c>
      <c r="I8" s="23">
        <f>OPEX!G27</f>
        <v/>
      </c>
      <c r="J8" s="23">
        <f>OPEX!H27</f>
        <v/>
      </c>
      <c r="K8" s="23">
        <f>OPEX!I27</f>
        <v/>
      </c>
      <c r="L8" s="23">
        <f>OPEX!J27</f>
        <v/>
      </c>
      <c r="M8" s="23">
        <f>OPEX!K27</f>
        <v/>
      </c>
      <c r="N8" s="23">
        <f>OPEX!L27</f>
        <v/>
      </c>
    </row>
    <row r="9">
      <c r="A9" s="3" t="inlineStr">
        <is>
          <t>EBITDA</t>
        </is>
      </c>
      <c r="B9" s="8" t="inlineStr">
        <is>
          <t>AED m</t>
        </is>
      </c>
      <c r="C9" s="17">
        <f>C7-C8</f>
        <v/>
      </c>
      <c r="D9" s="17">
        <f>D7-D8</f>
        <v/>
      </c>
      <c r="E9" s="17">
        <f>E7-E8</f>
        <v/>
      </c>
      <c r="F9" s="17">
        <f>F7-F8</f>
        <v/>
      </c>
      <c r="G9" s="17">
        <f>G7-G8</f>
        <v/>
      </c>
      <c r="H9" s="17">
        <f>H7-H8</f>
        <v/>
      </c>
      <c r="I9" s="17">
        <f>I7-I8</f>
        <v/>
      </c>
      <c r="J9" s="17">
        <f>J7-J8</f>
        <v/>
      </c>
      <c r="K9" s="17">
        <f>K7-K8</f>
        <v/>
      </c>
      <c r="L9" s="17">
        <f>L7-L8</f>
        <v/>
      </c>
      <c r="M9" s="17">
        <f>M7-M8</f>
        <v/>
      </c>
      <c r="N9" s="17">
        <f>N7-N8</f>
        <v/>
      </c>
    </row>
    <row r="10">
      <c r="A10" s="9" t="inlineStr">
        <is>
          <t>Depreciation &amp; amortisation</t>
        </is>
      </c>
      <c r="B10" s="8" t="inlineStr">
        <is>
          <t>AED m</t>
        </is>
      </c>
      <c r="C10" s="23">
        <f>CAPEX!C28</f>
        <v/>
      </c>
      <c r="D10" s="23">
        <f>CAPEX!D28</f>
        <v/>
      </c>
      <c r="E10" s="23">
        <f>CAPEX!E28</f>
        <v/>
      </c>
      <c r="F10" s="23">
        <f>CAPEX!F28</f>
        <v/>
      </c>
      <c r="G10" s="23">
        <f>CAPEX!G28</f>
        <v/>
      </c>
      <c r="H10" s="23">
        <f>CAPEX!H28</f>
        <v/>
      </c>
      <c r="I10" s="23">
        <f>CAPEX!I28</f>
        <v/>
      </c>
      <c r="J10" s="23">
        <f>CAPEX!J28</f>
        <v/>
      </c>
      <c r="K10" s="23">
        <f>CAPEX!K28</f>
        <v/>
      </c>
      <c r="L10" s="23">
        <f>CAPEX!L28</f>
        <v/>
      </c>
      <c r="M10" s="23">
        <f>CAPEX!M28</f>
        <v/>
      </c>
      <c r="N10" s="23">
        <f>CAPEX!N28</f>
        <v/>
      </c>
    </row>
    <row r="11">
      <c r="A11" s="3" t="inlineStr">
        <is>
          <t>EBIT</t>
        </is>
      </c>
      <c r="B11" s="8" t="inlineStr">
        <is>
          <t>AED m</t>
        </is>
      </c>
      <c r="C11" s="17">
        <f>C9-C10</f>
        <v/>
      </c>
      <c r="D11" s="17">
        <f>D9-D10</f>
        <v/>
      </c>
      <c r="E11" s="17">
        <f>E9-E10</f>
        <v/>
      </c>
      <c r="F11" s="17">
        <f>F9-F10</f>
        <v/>
      </c>
      <c r="G11" s="17">
        <f>G9-G10</f>
        <v/>
      </c>
      <c r="H11" s="17">
        <f>H9-H10</f>
        <v/>
      </c>
      <c r="I11" s="17">
        <f>I9-I10</f>
        <v/>
      </c>
      <c r="J11" s="17">
        <f>J9-J10</f>
        <v/>
      </c>
      <c r="K11" s="17">
        <f>K9-K10</f>
        <v/>
      </c>
      <c r="L11" s="17">
        <f>L9-L10</f>
        <v/>
      </c>
      <c r="M11" s="17">
        <f>M9-M10</f>
        <v/>
      </c>
      <c r="N11" s="17">
        <f>N9-N10</f>
        <v/>
      </c>
    </row>
    <row r="12"/>
    <row r="13">
      <c r="A13" s="6" t="inlineStr">
        <is>
          <t>FINANCING (memo block feeding interest)</t>
        </is>
      </c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</row>
    <row r="14">
      <c r="A14" s="9" t="inlineStr">
        <is>
          <t>CAPEX</t>
        </is>
      </c>
      <c r="B14" s="8" t="inlineStr">
        <is>
          <t>AED m</t>
        </is>
      </c>
      <c r="C14" s="23">
        <f>CAPEX!C15</f>
        <v/>
      </c>
      <c r="D14" s="23">
        <f>CAPEX!D15</f>
        <v/>
      </c>
      <c r="E14" s="23">
        <f>CAPEX!E15</f>
        <v/>
      </c>
      <c r="F14" s="23">
        <f>CAPEX!F15</f>
        <v/>
      </c>
      <c r="G14" s="23">
        <f>0</f>
        <v/>
      </c>
      <c r="H14" s="23">
        <f>0</f>
        <v/>
      </c>
      <c r="I14" s="23">
        <f>0</f>
        <v/>
      </c>
      <c r="J14" s="23">
        <f>0</f>
        <v/>
      </c>
      <c r="K14" s="23">
        <f>0</f>
        <v/>
      </c>
      <c r="L14" s="23">
        <f>0</f>
        <v/>
      </c>
      <c r="M14" s="23">
        <f>0</f>
        <v/>
      </c>
      <c r="N14" s="23">
        <f>0</f>
        <v/>
      </c>
    </row>
    <row r="15">
      <c r="A15" s="9" t="inlineStr">
        <is>
          <t>Debt drawn (60% of capex)</t>
        </is>
      </c>
      <c r="B15" s="8" t="inlineStr">
        <is>
          <t>AED m</t>
        </is>
      </c>
      <c r="C15" s="23">
        <f>Assumptions!$G$71*C14</f>
        <v/>
      </c>
      <c r="D15" s="23">
        <f>Assumptions!$G$71*D14</f>
        <v/>
      </c>
      <c r="E15" s="23">
        <f>Assumptions!$G$71*E14</f>
        <v/>
      </c>
      <c r="F15" s="23">
        <f>Assumptions!$G$71*F14</f>
        <v/>
      </c>
      <c r="G15" s="23">
        <f>Assumptions!$G$71*G14</f>
        <v/>
      </c>
      <c r="H15" s="23">
        <f>Assumptions!$G$71*H14</f>
        <v/>
      </c>
      <c r="I15" s="23">
        <f>Assumptions!$G$71*I14</f>
        <v/>
      </c>
      <c r="J15" s="23">
        <f>Assumptions!$G$71*J14</f>
        <v/>
      </c>
      <c r="K15" s="23">
        <f>Assumptions!$G$71*K14</f>
        <v/>
      </c>
      <c r="L15" s="23">
        <f>Assumptions!$G$71*L14</f>
        <v/>
      </c>
      <c r="M15" s="23">
        <f>Assumptions!$G$71*M14</f>
        <v/>
      </c>
      <c r="N15" s="23">
        <f>Assumptions!$G$71*N14</f>
        <v/>
      </c>
    </row>
    <row r="16">
      <c r="A16" s="9" t="inlineStr">
        <is>
          <t>Debt repayment (10-yr straight line from 2029)</t>
        </is>
      </c>
      <c r="B16" s="8" t="inlineStr">
        <is>
          <t>AED m</t>
        </is>
      </c>
      <c r="C16" s="23">
        <f>IF(AND(2026&gt;=2029,2026&lt;=2038),SUM($C$15:$F$15)/10,0)</f>
        <v/>
      </c>
      <c r="D16" s="23">
        <f>IF(AND(2027&gt;=2029,2027&lt;=2038),SUM($C$15:$F$15)/10,0)</f>
        <v/>
      </c>
      <c r="E16" s="23">
        <f>IF(AND(2028&gt;=2029,2028&lt;=2038),SUM($C$15:$F$15)/10,0)</f>
        <v/>
      </c>
      <c r="F16" s="23">
        <f>IF(AND(2029&gt;=2029,2029&lt;=2038),SUM($C$15:$F$15)/10,0)</f>
        <v/>
      </c>
      <c r="G16" s="23">
        <f>IF(AND(2030&gt;=2029,2030&lt;=2038),SUM($C$15:$F$15)/10,0)</f>
        <v/>
      </c>
      <c r="H16" s="23">
        <f>IF(AND(2031&gt;=2029,2031&lt;=2038),SUM($C$15:$F$15)/10,0)</f>
        <v/>
      </c>
      <c r="I16" s="23">
        <f>IF(AND(2032&gt;=2029,2032&lt;=2038),SUM($C$15:$F$15)/10,0)</f>
        <v/>
      </c>
      <c r="J16" s="23">
        <f>IF(AND(2033&gt;=2029,2033&lt;=2038),SUM($C$15:$F$15)/10,0)</f>
        <v/>
      </c>
      <c r="K16" s="23">
        <f>IF(AND(2034&gt;=2029,2034&lt;=2038),SUM($C$15:$F$15)/10,0)</f>
        <v/>
      </c>
      <c r="L16" s="23">
        <f>IF(AND(2035&gt;=2029,2035&lt;=2038),SUM($C$15:$F$15)/10,0)</f>
        <v/>
      </c>
      <c r="M16" s="23">
        <f>IF(AND(2036&gt;=2029,2036&lt;=2038),SUM($C$15:$F$15)/10,0)</f>
        <v/>
      </c>
      <c r="N16" s="23">
        <f>IF(AND(2037&gt;=2029,2037&lt;=2038),SUM($C$15:$F$15)/10,0)</f>
        <v/>
      </c>
    </row>
    <row r="17">
      <c r="A17" s="9" t="inlineStr">
        <is>
          <t>Debt balance (end-year)</t>
        </is>
      </c>
      <c r="B17" s="8" t="inlineStr">
        <is>
          <t>AED m</t>
        </is>
      </c>
      <c r="C17" s="23">
        <f>C15-C16</f>
        <v/>
      </c>
      <c r="D17" s="23">
        <f>C17+D15-D16</f>
        <v/>
      </c>
      <c r="E17" s="23">
        <f>D17+E15-E16</f>
        <v/>
      </c>
      <c r="F17" s="23">
        <f>E17+F15-F16</f>
        <v/>
      </c>
      <c r="G17" s="23">
        <f>F17+G15-G16</f>
        <v/>
      </c>
      <c r="H17" s="23">
        <f>G17+H15-H16</f>
        <v/>
      </c>
      <c r="I17" s="23">
        <f>H17+I15-I16</f>
        <v/>
      </c>
      <c r="J17" s="23">
        <f>I17+J15-J16</f>
        <v/>
      </c>
      <c r="K17" s="23">
        <f>J17+K15-K16</f>
        <v/>
      </c>
      <c r="L17" s="23">
        <f>K17+L15-L16</f>
        <v/>
      </c>
      <c r="M17" s="23">
        <f>L17+M15-M16</f>
        <v/>
      </c>
      <c r="N17" s="23">
        <f>M17+N15-N16</f>
        <v/>
      </c>
    </row>
    <row r="18">
      <c r="A18" s="9" t="inlineStr">
        <is>
          <t>Interest expense</t>
        </is>
      </c>
      <c r="B18" s="8" t="inlineStr">
        <is>
          <t>AED m</t>
        </is>
      </c>
      <c r="C18" s="23">
        <f>Assumptions!$G$72*0.5*C15</f>
        <v/>
      </c>
      <c r="D18" s="23">
        <f>Assumptions!$G$72*(C17+0.5*D15)</f>
        <v/>
      </c>
      <c r="E18" s="23">
        <f>Assumptions!$G$72*(D17+0.5*E15)</f>
        <v/>
      </c>
      <c r="F18" s="23">
        <f>Assumptions!$G$72*(E17+0.5*F15)</f>
        <v/>
      </c>
      <c r="G18" s="23">
        <f>Assumptions!$G$72*(F17+0.5*G15)</f>
        <v/>
      </c>
      <c r="H18" s="23">
        <f>Assumptions!$G$72*(G17+0.5*H15)</f>
        <v/>
      </c>
      <c r="I18" s="23">
        <f>Assumptions!$G$72*(H17+0.5*I15)</f>
        <v/>
      </c>
      <c r="J18" s="23">
        <f>Assumptions!$G$72*(I17+0.5*J15)</f>
        <v/>
      </c>
      <c r="K18" s="23">
        <f>Assumptions!$G$72*(J17+0.5*K15)</f>
        <v/>
      </c>
      <c r="L18" s="23">
        <f>Assumptions!$G$72*(K17+0.5*L15)</f>
        <v/>
      </c>
      <c r="M18" s="23">
        <f>Assumptions!$G$72*(L17+0.5*M15)</f>
        <v/>
      </c>
      <c r="N18" s="23">
        <f>Assumptions!$G$72*(M17+0.5*N15)</f>
        <v/>
      </c>
    </row>
    <row r="19"/>
    <row r="20">
      <c r="A20" s="6" t="inlineStr">
        <is>
          <t>TAX &amp; NET INCOME</t>
        </is>
      </c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</row>
    <row r="21">
      <c r="A21" s="9" t="inlineStr">
        <is>
          <t>Pre-tax income (EBT)</t>
        </is>
      </c>
      <c r="B21" s="8" t="inlineStr">
        <is>
          <t>AED m</t>
        </is>
      </c>
      <c r="C21" s="23">
        <f>C11-C18</f>
        <v/>
      </c>
      <c r="D21" s="23">
        <f>D11-D18</f>
        <v/>
      </c>
      <c r="E21" s="23">
        <f>E11-E18</f>
        <v/>
      </c>
      <c r="F21" s="23">
        <f>F11-F18</f>
        <v/>
      </c>
      <c r="G21" s="23">
        <f>G11-G18</f>
        <v/>
      </c>
      <c r="H21" s="23">
        <f>H11-H18</f>
        <v/>
      </c>
      <c r="I21" s="23">
        <f>I11-I18</f>
        <v/>
      </c>
      <c r="J21" s="23">
        <f>J11-J18</f>
        <v/>
      </c>
      <c r="K21" s="23">
        <f>K11-K18</f>
        <v/>
      </c>
      <c r="L21" s="23">
        <f>L11-L18</f>
        <v/>
      </c>
      <c r="M21" s="23">
        <f>M11-M18</f>
        <v/>
      </c>
      <c r="N21" s="23">
        <f>N11-N18</f>
        <v/>
      </c>
    </row>
    <row r="22">
      <c r="A22" s="9" t="inlineStr">
        <is>
          <t>Corporate tax (9% if positive)</t>
        </is>
      </c>
      <c r="B22" s="8" t="inlineStr">
        <is>
          <t>AED m</t>
        </is>
      </c>
      <c r="C22" s="23">
        <f>MAX(0,C21)*Assumptions!$G$12</f>
        <v/>
      </c>
      <c r="D22" s="23">
        <f>MAX(0,D21)*Assumptions!$G$12</f>
        <v/>
      </c>
      <c r="E22" s="23">
        <f>MAX(0,E21)*Assumptions!$G$12</f>
        <v/>
      </c>
      <c r="F22" s="23">
        <f>MAX(0,F21)*Assumptions!$G$12</f>
        <v/>
      </c>
      <c r="G22" s="23">
        <f>MAX(0,G21)*Assumptions!$G$12</f>
        <v/>
      </c>
      <c r="H22" s="23">
        <f>MAX(0,H21)*Assumptions!$G$12</f>
        <v/>
      </c>
      <c r="I22" s="23">
        <f>MAX(0,I21)*Assumptions!$G$12</f>
        <v/>
      </c>
      <c r="J22" s="23">
        <f>MAX(0,J21)*Assumptions!$G$12</f>
        <v/>
      </c>
      <c r="K22" s="23">
        <f>MAX(0,K21)*Assumptions!$G$12</f>
        <v/>
      </c>
      <c r="L22" s="23">
        <f>MAX(0,L21)*Assumptions!$G$12</f>
        <v/>
      </c>
      <c r="M22" s="23">
        <f>MAX(0,M21)*Assumptions!$G$12</f>
        <v/>
      </c>
      <c r="N22" s="23">
        <f>MAX(0,N21)*Assumptions!$G$12</f>
        <v/>
      </c>
    </row>
    <row r="23">
      <c r="A23" s="3" t="inlineStr">
        <is>
          <t>NET INCOME</t>
        </is>
      </c>
      <c r="B23" s="8" t="inlineStr">
        <is>
          <t>AED m</t>
        </is>
      </c>
      <c r="C23" s="17">
        <f>C21-C22</f>
        <v/>
      </c>
      <c r="D23" s="17">
        <f>D21-D22</f>
        <v/>
      </c>
      <c r="E23" s="17">
        <f>E21-E22</f>
        <v/>
      </c>
      <c r="F23" s="17">
        <f>F21-F22</f>
        <v/>
      </c>
      <c r="G23" s="17">
        <f>G21-G22</f>
        <v/>
      </c>
      <c r="H23" s="17">
        <f>H21-H22</f>
        <v/>
      </c>
      <c r="I23" s="17">
        <f>I21-I22</f>
        <v/>
      </c>
      <c r="J23" s="17">
        <f>J21-J22</f>
        <v/>
      </c>
      <c r="K23" s="17">
        <f>K21-K22</f>
        <v/>
      </c>
      <c r="L23" s="17">
        <f>L21-L22</f>
        <v/>
      </c>
      <c r="M23" s="17">
        <f>M21-M22</f>
        <v/>
      </c>
      <c r="N23" s="17">
        <f>N21-N22</f>
        <v/>
      </c>
    </row>
    <row r="24"/>
    <row r="25">
      <c r="A25" s="9" t="inlineStr">
        <is>
          <t>Memo: unlevered tax (on EBIT) - used in project FCF</t>
        </is>
      </c>
      <c r="B25" s="8" t="inlineStr">
        <is>
          <t>AED m</t>
        </is>
      </c>
      <c r="C25" s="23">
        <f>MAX(0,C11)*Assumptions!$G$12</f>
        <v/>
      </c>
      <c r="D25" s="23">
        <f>MAX(0,D11)*Assumptions!$G$12</f>
        <v/>
      </c>
      <c r="E25" s="23">
        <f>MAX(0,E11)*Assumptions!$G$12</f>
        <v/>
      </c>
      <c r="F25" s="23">
        <f>MAX(0,F11)*Assumptions!$G$12</f>
        <v/>
      </c>
      <c r="G25" s="23">
        <f>MAX(0,G11)*Assumptions!$G$12</f>
        <v/>
      </c>
      <c r="H25" s="23">
        <f>MAX(0,H11)*Assumptions!$G$12</f>
        <v/>
      </c>
      <c r="I25" s="23">
        <f>MAX(0,I11)*Assumptions!$G$12</f>
        <v/>
      </c>
      <c r="J25" s="23">
        <f>MAX(0,J11)*Assumptions!$G$12</f>
        <v/>
      </c>
      <c r="K25" s="23">
        <f>MAX(0,K11)*Assumptions!$G$12</f>
        <v/>
      </c>
      <c r="L25" s="23">
        <f>MAX(0,L11)*Assumptions!$G$12</f>
        <v/>
      </c>
      <c r="M25" s="23">
        <f>MAX(0,M11)*Assumptions!$G$12</f>
        <v/>
      </c>
      <c r="N25" s="23">
        <f>MAX(0,N11)*Assumptions!$G$12</f>
        <v/>
      </c>
    </row>
    <row r="26"/>
    <row r="27">
      <c r="A27" s="24" t="inlineStr">
        <is>
          <t>Note: early-year EBITDA surpluses (fees on 100% of POM vs costs on returned volumes) build the statutory contingency reserve - Ireland year-1 pattern (Re-turn 2024: €51.3m pre-tax surplus, R4).</t>
        </is>
      </c>
    </row>
    <row r="28">
      <c r="A28" s="24" t="inlineStr">
        <is>
          <t>Fee-review mechanic: producer fees are reset for steady-state cost recovery at target redemption (Assumptions FEEREV, applied from year 4).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35"/>
  <sheetViews>
    <sheetView showGridLines="0"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50" customWidth="1" min="1" max="1"/>
    <col width="8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>
      <c r="A1" s="1" t="inlineStr">
        <is>
          <t>Returns - Project (Unlevered) and Segen-Level View</t>
        </is>
      </c>
    </row>
    <row r="2">
      <c r="A2" s="2" t="inlineStr">
        <is>
          <t>AED millions. Project FCF = EBITDA − unlevered tax − capex. Segen: equity + pre-op out vs OMF margin + dividends. NO unredeemed-deposit income anywhere.</t>
        </is>
      </c>
    </row>
    <row r="3"/>
    <row r="4"/>
    <row r="5">
      <c r="A5" s="5" t="inlineStr">
        <is>
          <t>Line</t>
        </is>
      </c>
      <c r="B5" s="5" t="inlineStr">
        <is>
          <t>Unit</t>
        </is>
      </c>
      <c r="C5" s="5" t="n">
        <v>2026</v>
      </c>
      <c r="D5" s="5" t="n">
        <v>2027</v>
      </c>
      <c r="E5" s="5" t="n">
        <v>2028</v>
      </c>
      <c r="F5" s="5" t="n">
        <v>2029</v>
      </c>
      <c r="G5" s="5" t="n">
        <v>2030</v>
      </c>
      <c r="H5" s="5" t="n">
        <v>2031</v>
      </c>
      <c r="I5" s="5" t="n">
        <v>2032</v>
      </c>
      <c r="J5" s="5" t="n">
        <v>2033</v>
      </c>
      <c r="K5" s="5" t="n">
        <v>2034</v>
      </c>
      <c r="L5" s="5" t="n">
        <v>2035</v>
      </c>
      <c r="M5" s="5" t="n">
        <v>2036</v>
      </c>
      <c r="N5" s="5" t="n">
        <v>2037</v>
      </c>
    </row>
    <row r="6"/>
    <row r="7">
      <c r="A7" s="6" t="inlineStr">
        <is>
          <t>A - PROJECT (UNLEVERED) FREE CASH FLOW</t>
        </is>
      </c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</row>
    <row r="8">
      <c r="A8" s="9" t="inlineStr">
        <is>
          <t>EBITDA</t>
        </is>
      </c>
      <c r="B8" s="8" t="inlineStr">
        <is>
          <t>AED m</t>
        </is>
      </c>
      <c r="C8" s="23">
        <f>'P&amp;L_10yr'!C9</f>
        <v/>
      </c>
      <c r="D8" s="23">
        <f>'P&amp;L_10yr'!D9</f>
        <v/>
      </c>
      <c r="E8" s="23">
        <f>'P&amp;L_10yr'!E9</f>
        <v/>
      </c>
      <c r="F8" s="23">
        <f>'P&amp;L_10yr'!F9</f>
        <v/>
      </c>
      <c r="G8" s="23">
        <f>'P&amp;L_10yr'!G9</f>
        <v/>
      </c>
      <c r="H8" s="23">
        <f>'P&amp;L_10yr'!H9</f>
        <v/>
      </c>
      <c r="I8" s="23">
        <f>'P&amp;L_10yr'!I9</f>
        <v/>
      </c>
      <c r="J8" s="23">
        <f>'P&amp;L_10yr'!J9</f>
        <v/>
      </c>
      <c r="K8" s="23">
        <f>'P&amp;L_10yr'!K9</f>
        <v/>
      </c>
      <c r="L8" s="23">
        <f>'P&amp;L_10yr'!L9</f>
        <v/>
      </c>
      <c r="M8" s="23">
        <f>'P&amp;L_10yr'!M9</f>
        <v/>
      </c>
      <c r="N8" s="23">
        <f>'P&amp;L_10yr'!N9</f>
        <v/>
      </c>
    </row>
    <row r="9">
      <c r="A9" s="9" t="inlineStr">
        <is>
          <t>Unlevered tax</t>
        </is>
      </c>
      <c r="B9" s="8" t="inlineStr">
        <is>
          <t>AED m</t>
        </is>
      </c>
      <c r="C9" s="23">
        <f>'P&amp;L_10yr'!C25</f>
        <v/>
      </c>
      <c r="D9" s="23">
        <f>'P&amp;L_10yr'!D25</f>
        <v/>
      </c>
      <c r="E9" s="23">
        <f>'P&amp;L_10yr'!E25</f>
        <v/>
      </c>
      <c r="F9" s="23">
        <f>'P&amp;L_10yr'!F25</f>
        <v/>
      </c>
      <c r="G9" s="23">
        <f>'P&amp;L_10yr'!G25</f>
        <v/>
      </c>
      <c r="H9" s="23">
        <f>'P&amp;L_10yr'!H25</f>
        <v/>
      </c>
      <c r="I9" s="23">
        <f>'P&amp;L_10yr'!I25</f>
        <v/>
      </c>
      <c r="J9" s="23">
        <f>'P&amp;L_10yr'!J25</f>
        <v/>
      </c>
      <c r="K9" s="23">
        <f>'P&amp;L_10yr'!K25</f>
        <v/>
      </c>
      <c r="L9" s="23">
        <f>'P&amp;L_10yr'!L25</f>
        <v/>
      </c>
      <c r="M9" s="23">
        <f>'P&amp;L_10yr'!M25</f>
        <v/>
      </c>
      <c r="N9" s="23">
        <f>'P&amp;L_10yr'!N25</f>
        <v/>
      </c>
    </row>
    <row r="10">
      <c r="A10" s="9" t="inlineStr">
        <is>
          <t>CAPEX</t>
        </is>
      </c>
      <c r="B10" s="8" t="inlineStr">
        <is>
          <t>AED m</t>
        </is>
      </c>
      <c r="C10" s="23">
        <f>'P&amp;L_10yr'!C14</f>
        <v/>
      </c>
      <c r="D10" s="23">
        <f>'P&amp;L_10yr'!D14</f>
        <v/>
      </c>
      <c r="E10" s="23">
        <f>'P&amp;L_10yr'!E14</f>
        <v/>
      </c>
      <c r="F10" s="23">
        <f>'P&amp;L_10yr'!F14</f>
        <v/>
      </c>
      <c r="G10" s="23">
        <f>'P&amp;L_10yr'!G14</f>
        <v/>
      </c>
      <c r="H10" s="23">
        <f>'P&amp;L_10yr'!H14</f>
        <v/>
      </c>
      <c r="I10" s="23">
        <f>'P&amp;L_10yr'!I14</f>
        <v/>
      </c>
      <c r="J10" s="23">
        <f>'P&amp;L_10yr'!J14</f>
        <v/>
      </c>
      <c r="K10" s="23">
        <f>'P&amp;L_10yr'!K14</f>
        <v/>
      </c>
      <c r="L10" s="23">
        <f>'P&amp;L_10yr'!L14</f>
        <v/>
      </c>
      <c r="M10" s="23">
        <f>'P&amp;L_10yr'!M14</f>
        <v/>
      </c>
      <c r="N10" s="23">
        <f>'P&amp;L_10yr'!N14</f>
        <v/>
      </c>
    </row>
    <row r="11">
      <c r="A11" s="3" t="inlineStr">
        <is>
          <t>Project FCF</t>
        </is>
      </c>
      <c r="B11" s="8" t="inlineStr">
        <is>
          <t>AED m</t>
        </is>
      </c>
      <c r="C11" s="17">
        <f>C8-C9-C10</f>
        <v/>
      </c>
      <c r="D11" s="17">
        <f>D8-D9-D10</f>
        <v/>
      </c>
      <c r="E11" s="17">
        <f>E8-E9-E10</f>
        <v/>
      </c>
      <c r="F11" s="17">
        <f>F8-F9-F10</f>
        <v/>
      </c>
      <c r="G11" s="17">
        <f>G8-G9-G10</f>
        <v/>
      </c>
      <c r="H11" s="17">
        <f>H8-H9-H10</f>
        <v/>
      </c>
      <c r="I11" s="17">
        <f>I8-I9-I10</f>
        <v/>
      </c>
      <c r="J11" s="17">
        <f>J8-J9-J10</f>
        <v/>
      </c>
      <c r="K11" s="17">
        <f>K8-K9-K10</f>
        <v/>
      </c>
      <c r="L11" s="17">
        <f>L8-L9-L10</f>
        <v/>
      </c>
      <c r="M11" s="17">
        <f>M8-M9-M10</f>
        <v/>
      </c>
      <c r="N11" s="17">
        <f>N8-N9-N10</f>
        <v/>
      </c>
    </row>
    <row r="12">
      <c r="A12" s="9" t="inlineStr">
        <is>
          <t>Cumulative FCF</t>
        </is>
      </c>
      <c r="B12" s="8" t="inlineStr">
        <is>
          <t>AED m</t>
        </is>
      </c>
      <c r="C12" s="23">
        <f>C11</f>
        <v/>
      </c>
      <c r="D12" s="23">
        <f>C12+D11</f>
        <v/>
      </c>
      <c r="E12" s="23">
        <f>D12+E11</f>
        <v/>
      </c>
      <c r="F12" s="23">
        <f>E12+F11</f>
        <v/>
      </c>
      <c r="G12" s="23">
        <f>F12+G11</f>
        <v/>
      </c>
      <c r="H12" s="23">
        <f>G12+H11</f>
        <v/>
      </c>
      <c r="I12" s="23">
        <f>H12+I11</f>
        <v/>
      </c>
      <c r="J12" s="23">
        <f>I12+J11</f>
        <v/>
      </c>
      <c r="K12" s="23">
        <f>J12+K11</f>
        <v/>
      </c>
      <c r="L12" s="23">
        <f>K12+L11</f>
        <v/>
      </c>
      <c r="M12" s="23">
        <f>L12+M11</f>
        <v/>
      </c>
      <c r="N12" s="23">
        <f>M12+N11</f>
        <v/>
      </c>
    </row>
    <row r="13"/>
    <row r="14">
      <c r="A14" s="3" t="inlineStr">
        <is>
          <t>Project IRR (2026-2037)</t>
        </is>
      </c>
      <c r="C14" s="19">
        <f>IFERROR(IRR(C11:N11),"n.m.")</f>
        <v/>
      </c>
    </row>
    <row r="15">
      <c r="A15" s="3" t="inlineStr">
        <is>
          <t>NPV @ 8% (AED m)</t>
        </is>
      </c>
      <c r="C15" s="17">
        <f>NPV(0.08,D11:N11)+C11</f>
        <v/>
      </c>
    </row>
    <row r="16">
      <c r="A16" s="3" t="inlineStr">
        <is>
          <t>NPV @ 10% (AED m)</t>
        </is>
      </c>
      <c r="C16" s="17">
        <f>NPV(0.1,D11:N11)+C11</f>
        <v/>
      </c>
    </row>
    <row r="17">
      <c r="A17" s="3" t="inlineStr">
        <is>
          <t>Payback year (cumulative FCF ≥ 0)</t>
        </is>
      </c>
      <c r="C17" s="17">
        <f>IF(MAX(C12:N12)&lt;0,"n.m.",INDEX(C5:N5,SUMPRODUCT((C12:N12&lt;0)*1)+1))</f>
        <v/>
      </c>
    </row>
    <row r="18">
      <c r="A18" s="3" t="inlineStr">
        <is>
          <t>Peak funding requirement (AED m)</t>
        </is>
      </c>
      <c r="C18" s="17">
        <f>-MIN(C12:N12)</f>
        <v/>
      </c>
    </row>
    <row r="19"/>
    <row r="20">
      <c r="A20" s="6" t="inlineStr">
        <is>
          <t>B - SEGEN-LEVEL VIEW (management fee + material success fee + equity)</t>
        </is>
      </c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</row>
    <row r="21">
      <c r="A21" s="9" t="inlineStr">
        <is>
          <t>Segen equity injections (51% of 40% equity share)</t>
        </is>
      </c>
      <c r="B21" s="8" t="inlineStr">
        <is>
          <t>AED m</t>
        </is>
      </c>
      <c r="C21" s="23">
        <f>-Assumptions!$G$73*(1-Assumptions!$G$71)*C10</f>
        <v/>
      </c>
      <c r="D21" s="23">
        <f>-Assumptions!$G$73*(1-Assumptions!$G$71)*D10</f>
        <v/>
      </c>
      <c r="E21" s="23">
        <f>-Assumptions!$G$73*(1-Assumptions!$G$71)*E10</f>
        <v/>
      </c>
      <c r="F21" s="23">
        <f>-Assumptions!$G$73*(1-Assumptions!$G$71)*F10</f>
        <v/>
      </c>
      <c r="G21" s="23">
        <f>-Assumptions!$G$73*(1-Assumptions!$G$71)*G10</f>
        <v/>
      </c>
      <c r="H21" s="23">
        <f>-Assumptions!$G$73*(1-Assumptions!$G$71)*H10</f>
        <v/>
      </c>
      <c r="I21" s="23">
        <f>-Assumptions!$G$73*(1-Assumptions!$G$71)*I10</f>
        <v/>
      </c>
      <c r="J21" s="23">
        <f>-Assumptions!$G$73*(1-Assumptions!$G$71)*J10</f>
        <v/>
      </c>
      <c r="K21" s="23">
        <f>-Assumptions!$G$73*(1-Assumptions!$G$71)*K10</f>
        <v/>
      </c>
      <c r="L21" s="23">
        <f>-Assumptions!$G$73*(1-Assumptions!$G$71)*L10</f>
        <v/>
      </c>
      <c r="M21" s="23">
        <f>-Assumptions!$G$73*(1-Assumptions!$G$71)*M10</f>
        <v/>
      </c>
      <c r="N21" s="23">
        <f>-Assumptions!$G$73*(1-Assumptions!$G$71)*N10</f>
        <v/>
      </c>
    </row>
    <row r="22">
      <c r="A22" s="9" t="inlineStr">
        <is>
          <t>Segen pre-operating costs</t>
        </is>
      </c>
      <c r="B22" s="8" t="inlineStr">
        <is>
          <t>AED m</t>
        </is>
      </c>
      <c r="C22" s="23">
        <f>-Assumptions!$G$76</f>
        <v/>
      </c>
      <c r="D22" s="23">
        <f>0</f>
        <v/>
      </c>
      <c r="E22" s="23">
        <f>0</f>
        <v/>
      </c>
      <c r="F22" s="23">
        <f>0</f>
        <v/>
      </c>
      <c r="G22" s="23">
        <f>0</f>
        <v/>
      </c>
      <c r="H22" s="23">
        <f>0</f>
        <v/>
      </c>
      <c r="I22" s="23">
        <f>0</f>
        <v/>
      </c>
      <c r="J22" s="23">
        <f>0</f>
        <v/>
      </c>
      <c r="K22" s="23">
        <f>0</f>
        <v/>
      </c>
      <c r="L22" s="23">
        <f>0</f>
        <v/>
      </c>
      <c r="M22" s="23">
        <f>0</f>
        <v/>
      </c>
      <c r="N22" s="23">
        <f>0</f>
        <v/>
      </c>
    </row>
    <row r="23">
      <c r="A23" s="9" t="inlineStr">
        <is>
          <t>OMF income (fixed + success fee)</t>
        </is>
      </c>
      <c r="B23" s="8" t="inlineStr">
        <is>
          <t>AED m</t>
        </is>
      </c>
      <c r="C23" s="23">
        <f>0</f>
        <v/>
      </c>
      <c r="D23" s="23">
        <f>0</f>
        <v/>
      </c>
      <c r="E23" s="23">
        <f>OPEX!C25</f>
        <v/>
      </c>
      <c r="F23" s="23">
        <f>OPEX!D25</f>
        <v/>
      </c>
      <c r="G23" s="23">
        <f>OPEX!E25</f>
        <v/>
      </c>
      <c r="H23" s="23">
        <f>OPEX!F25</f>
        <v/>
      </c>
      <c r="I23" s="23">
        <f>OPEX!G25</f>
        <v/>
      </c>
      <c r="J23" s="23">
        <f>OPEX!H25</f>
        <v/>
      </c>
      <c r="K23" s="23">
        <f>OPEX!I25</f>
        <v/>
      </c>
      <c r="L23" s="23">
        <f>OPEX!J25</f>
        <v/>
      </c>
      <c r="M23" s="23">
        <f>OPEX!K25</f>
        <v/>
      </c>
      <c r="N23" s="23">
        <f>OPEX!L25</f>
        <v/>
      </c>
    </row>
    <row r="24">
      <c r="A24" s="9" t="inlineStr">
        <is>
          <t>Segen delivery costs</t>
        </is>
      </c>
      <c r="B24" s="8" t="inlineStr">
        <is>
          <t>AED m</t>
        </is>
      </c>
      <c r="C24" s="23">
        <f>-C23*Assumptions!$G$75</f>
        <v/>
      </c>
      <c r="D24" s="23">
        <f>-D23*Assumptions!$G$75</f>
        <v/>
      </c>
      <c r="E24" s="23">
        <f>-E23*Assumptions!$G$75</f>
        <v/>
      </c>
      <c r="F24" s="23">
        <f>-F23*Assumptions!$G$75</f>
        <v/>
      </c>
      <c r="G24" s="23">
        <f>-G23*Assumptions!$G$75</f>
        <v/>
      </c>
      <c r="H24" s="23">
        <f>-H23*Assumptions!$G$75</f>
        <v/>
      </c>
      <c r="I24" s="23">
        <f>-I23*Assumptions!$G$75</f>
        <v/>
      </c>
      <c r="J24" s="23">
        <f>-J23*Assumptions!$G$75</f>
        <v/>
      </c>
      <c r="K24" s="23">
        <f>-K23*Assumptions!$G$75</f>
        <v/>
      </c>
      <c r="L24" s="23">
        <f>-L23*Assumptions!$G$75</f>
        <v/>
      </c>
      <c r="M24" s="23">
        <f>-M23*Assumptions!$G$75</f>
        <v/>
      </c>
      <c r="N24" s="23">
        <f>-N23*Assumptions!$G$75</f>
        <v/>
      </c>
    </row>
    <row r="25">
      <c r="A25" s="9" t="inlineStr">
        <is>
          <t>Dividends from SPV</t>
        </is>
      </c>
      <c r="B25" s="8" t="inlineStr">
        <is>
          <t>AED m</t>
        </is>
      </c>
      <c r="C25" s="23">
        <f>Assumptions!$G$73*Assumptions!$G$74*MAX(0,'P&amp;L_10yr'!C23)</f>
        <v/>
      </c>
      <c r="D25" s="23">
        <f>Assumptions!$G$73*Assumptions!$G$74*MAX(0,'P&amp;L_10yr'!D23)</f>
        <v/>
      </c>
      <c r="E25" s="23">
        <f>Assumptions!$G$73*Assumptions!$G$74*MAX(0,'P&amp;L_10yr'!E23)</f>
        <v/>
      </c>
      <c r="F25" s="23">
        <f>Assumptions!$G$73*Assumptions!$G$74*MAX(0,'P&amp;L_10yr'!F23)</f>
        <v/>
      </c>
      <c r="G25" s="23">
        <f>Assumptions!$G$73*Assumptions!$G$74*MAX(0,'P&amp;L_10yr'!G23)</f>
        <v/>
      </c>
      <c r="H25" s="23">
        <f>Assumptions!$G$73*Assumptions!$G$74*MAX(0,'P&amp;L_10yr'!H23)</f>
        <v/>
      </c>
      <c r="I25" s="23">
        <f>Assumptions!$G$73*Assumptions!$G$74*MAX(0,'P&amp;L_10yr'!I23)</f>
        <v/>
      </c>
      <c r="J25" s="23">
        <f>Assumptions!$G$73*Assumptions!$G$74*MAX(0,'P&amp;L_10yr'!J23)</f>
        <v/>
      </c>
      <c r="K25" s="23">
        <f>Assumptions!$G$73*Assumptions!$G$74*MAX(0,'P&amp;L_10yr'!K23)</f>
        <v/>
      </c>
      <c r="L25" s="23">
        <f>Assumptions!$G$73*Assumptions!$G$74*MAX(0,'P&amp;L_10yr'!L23)</f>
        <v/>
      </c>
      <c r="M25" s="23">
        <f>Assumptions!$G$73*Assumptions!$G$74*MAX(0,'P&amp;L_10yr'!M23)</f>
        <v/>
      </c>
      <c r="N25" s="23">
        <f>Assumptions!$G$73*Assumptions!$G$74*MAX(0,'P&amp;L_10yr'!N23)</f>
        <v/>
      </c>
    </row>
    <row r="26">
      <c r="A26" s="3" t="inlineStr">
        <is>
          <t>Segen net cash flow</t>
        </is>
      </c>
      <c r="B26" s="8" t="inlineStr">
        <is>
          <t>AED m</t>
        </is>
      </c>
      <c r="C26" s="17">
        <f>C21+C22+C23+C24+C25</f>
        <v/>
      </c>
      <c r="D26" s="17">
        <f>D21+D22+D23+D24+D25</f>
        <v/>
      </c>
      <c r="E26" s="17">
        <f>E21+E22+E23+E24+E25</f>
        <v/>
      </c>
      <c r="F26" s="17">
        <f>F21+F22+F23+F24+F25</f>
        <v/>
      </c>
      <c r="G26" s="17">
        <f>G21+G22+G23+G24+G25</f>
        <v/>
      </c>
      <c r="H26" s="17">
        <f>H21+H22+H23+H24+H25</f>
        <v/>
      </c>
      <c r="I26" s="17">
        <f>I21+I22+I23+I24+I25</f>
        <v/>
      </c>
      <c r="J26" s="17">
        <f>J21+J22+J23+J24+J25</f>
        <v/>
      </c>
      <c r="K26" s="17">
        <f>K21+K22+K23+K24+K25</f>
        <v/>
      </c>
      <c r="L26" s="17">
        <f>L21+L22+L23+L24+L25</f>
        <v/>
      </c>
      <c r="M26" s="17">
        <f>M21+M22+M23+M24+M25</f>
        <v/>
      </c>
      <c r="N26" s="17">
        <f>N21+N22+N23+N24+N25</f>
        <v/>
      </c>
    </row>
    <row r="27">
      <c r="A27" s="9" t="inlineStr">
        <is>
          <t>Cumulative</t>
        </is>
      </c>
      <c r="B27" s="8" t="inlineStr">
        <is>
          <t>AED m</t>
        </is>
      </c>
      <c r="C27" s="23">
        <f>C26</f>
        <v/>
      </c>
      <c r="D27" s="23">
        <f>C27+D26</f>
        <v/>
      </c>
      <c r="E27" s="23">
        <f>D27+E26</f>
        <v/>
      </c>
      <c r="F27" s="23">
        <f>E27+F26</f>
        <v/>
      </c>
      <c r="G27" s="23">
        <f>F27+G26</f>
        <v/>
      </c>
      <c r="H27" s="23">
        <f>G27+H26</f>
        <v/>
      </c>
      <c r="I27" s="23">
        <f>H27+I26</f>
        <v/>
      </c>
      <c r="J27" s="23">
        <f>I27+J26</f>
        <v/>
      </c>
      <c r="K27" s="23">
        <f>J27+K26</f>
        <v/>
      </c>
      <c r="L27" s="23">
        <f>K27+L26</f>
        <v/>
      </c>
      <c r="M27" s="23">
        <f>L27+M26</f>
        <v/>
      </c>
      <c r="N27" s="23">
        <f>M27+N26</f>
        <v/>
      </c>
    </row>
    <row r="28"/>
    <row r="29">
      <c r="A29" s="3" t="inlineStr">
        <is>
          <t>Segen IRR</t>
        </is>
      </c>
      <c r="C29" s="19">
        <f>IFERROR(IRR(C26:N26),"n.m.")</f>
        <v/>
      </c>
    </row>
    <row r="30">
      <c r="A30" s="3" t="inlineStr">
        <is>
          <t>Segen NPV @ 10% (AED m)</t>
        </is>
      </c>
      <c r="C30" s="17">
        <f>NPV(0.1,D26:N26)+C26</f>
        <v/>
      </c>
    </row>
    <row r="31">
      <c r="A31" s="3" t="inlineStr">
        <is>
          <t>Segen payback year</t>
        </is>
      </c>
      <c r="C31" s="17">
        <f>IF(MAX(C27:N27)&lt;0,"n.m.",INDEX(C5:N5,SUMPRODUCT((C27:N27&lt;0)*1)+1))</f>
        <v/>
      </c>
    </row>
    <row r="32">
      <c r="A32" s="3" t="inlineStr">
        <is>
          <t>Segen peak outlay (AED m)</t>
        </is>
      </c>
      <c r="C32" s="17">
        <f>-MIN(C27:N27)</f>
        <v/>
      </c>
    </row>
    <row r="33">
      <c r="A33" s="3" t="inlineStr">
        <is>
          <t>Segen total commitment (equity + pre-op, AED m)</t>
        </is>
      </c>
      <c r="C33" s="17">
        <f>-SUM(C21:N21)-SUM(C22:N22)</f>
        <v/>
      </c>
    </row>
    <row r="34"/>
    <row r="35">
      <c r="A35" s="24" t="inlineStr">
        <is>
          <t>Segen's returns derive from operations management contracts and material value share - structurally asset-light and deposit-free (Project Description, R5 §A.4).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2026-07-26T10:38:19Z</dcterms:created>
  <dcterms:modified xmlns:dcterms="http://purl.org/dc/terms/" xmlns:xsi="http://www.w3.org/2001/XMLSchema-instance" xsi:type="dcterms:W3CDTF">2026-07-26T14:16:30Z</dcterms:modified>
</cp:coreProperties>
</file>